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drawings/drawing2.xml" ContentType="application/vnd.openxmlformats-officedocument.drawing+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drawings/drawing3.xml" ContentType="application/vnd.openxmlformats-officedocument.drawing+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drawings/drawing4.xml" ContentType="application/vnd.openxmlformats-officedocument.drawing+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drawings/drawing5.xml" ContentType="application/vnd.openxmlformats-officedocument.drawing+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drawings/drawing6.xml" ContentType="application/vnd.openxmlformats-officedocument.drawing+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drawings/drawing7.xml" ContentType="application/vnd.openxmlformats-officedocument.drawing+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drawings/drawing8.xml" ContentType="application/vnd.openxmlformats-officedocument.drawing+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drawings/drawing9.xml" ContentType="application/vnd.openxmlformats-officedocument.drawing+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drawings/drawing10.xml" ContentType="application/vnd.openxmlformats-officedocument.drawing+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46"/>
  <workbookPr codeName="ThisWorkbook"/>
  <mc:AlternateContent xmlns:mc="http://schemas.openxmlformats.org/markup-compatibility/2006">
    <mc:Choice Requires="x15">
      <x15ac:absPath xmlns:x15ac="http://schemas.microsoft.com/office/spreadsheetml/2010/11/ac" url="C:\Users\sgoff\Desktop\"/>
    </mc:Choice>
  </mc:AlternateContent>
  <xr:revisionPtr revIDLastSave="0" documentId="13_ncr:1_{10AFE518-7469-461C-9CC2-C2244536E005}" xr6:coauthVersionLast="36" xr6:coauthVersionMax="36" xr10:uidLastSave="{00000000-0000-0000-0000-000000000000}"/>
  <bookViews>
    <workbookView xWindow="0" yWindow="0" windowWidth="28800" windowHeight="10965" tabRatio="926" xr2:uid="{00000000-000D-0000-FFFF-FFFF00000000}"/>
  </bookViews>
  <sheets>
    <sheet name="Instructions" sheetId="4" r:id="rId1"/>
    <sheet name="Complete This Page" sheetId="2" r:id="rId2"/>
    <sheet name="Print Return" sheetId="16" r:id="rId3"/>
    <sheet name="Print Schedules" sheetId="9" r:id="rId4"/>
    <sheet name="Print NOL Worksheet" sheetId="28" r:id="rId5"/>
    <sheet name="Muni Carryovers" sheetId="20" r:id="rId6"/>
    <sheet name="Fed Carryovers" sheetId="7" state="hidden" r:id="rId7"/>
    <sheet name="Form 8903" sheetId="15" r:id="rId8"/>
    <sheet name="Form 8903 (pre 2011)" sheetId="12" r:id="rId9"/>
    <sheet name="Cities" sheetId="5" state="hidden" r:id="rId10"/>
    <sheet name="Tax Rates" sheetId="13" state="hidden" r:id="rId11"/>
    <sheet name="Overflow" sheetId="11" state="hidden" r:id="rId12"/>
    <sheet name="Differences from original" sheetId="29" state="hidden" r:id="rId13"/>
    <sheet name="Overflow (2)" sheetId="17" state="hidden" r:id="rId14"/>
    <sheet name="Overflow (3)" sheetId="18" state="hidden" r:id="rId15"/>
    <sheet name="Overflow (4)" sheetId="21" state="hidden" r:id="rId16"/>
    <sheet name="Overflow (5)" sheetId="23" state="hidden" r:id="rId17"/>
    <sheet name="Overflow (6)" sheetId="24" state="hidden" r:id="rId18"/>
    <sheet name="Overflow (7)" sheetId="25" state="hidden" r:id="rId19"/>
    <sheet name="Overflow (8)" sheetId="26" state="hidden" r:id="rId20"/>
    <sheet name="Overflows Worksheet" sheetId="27" state="hidden" r:id="rId21"/>
    <sheet name="Tax Rate Calc" sheetId="14" state="hidden" r:id="rId22"/>
    <sheet name="Data" sheetId="3" state="hidden" r:id="rId23"/>
    <sheet name="References" sheetId="6" state="hidden" r:id="rId24"/>
    <sheet name="Notes" sheetId="8" state="hidden" r:id="rId25"/>
    <sheet name="291 Worksheet" sheetId="19" state="hidden" r:id="rId26"/>
  </sheets>
  <definedNames>
    <definedName name="DropTable1">Cities!$C$3:$C$343</definedName>
    <definedName name="_xlnm.Print_Area" localSheetId="25">'291 Worksheet'!$A$1:$I$52</definedName>
    <definedName name="_xlnm.Print_Area" localSheetId="9">Cities!$B$2:$K$343</definedName>
    <definedName name="_xlnm.Print_Area" localSheetId="1">'Complete This Page'!$A$1:$K$223</definedName>
    <definedName name="_xlnm.Print_Area" localSheetId="11">Overflow!$A$1:$M$113</definedName>
    <definedName name="_xlnm.Print_Area" localSheetId="13">'Overflow (2)'!$A$1:$M$121</definedName>
    <definedName name="_xlnm.Print_Area" localSheetId="14">'Overflow (3)'!$A$1:$M$121</definedName>
    <definedName name="_xlnm.Print_Area" localSheetId="15">'Overflow (4)'!$A$1:$M$121</definedName>
    <definedName name="_xlnm.Print_Area" localSheetId="16">'Overflow (5)'!$A$1:$M$121</definedName>
    <definedName name="_xlnm.Print_Area" localSheetId="17">'Overflow (6)'!$A$1:$M$121</definedName>
    <definedName name="_xlnm.Print_Area" localSheetId="18">'Overflow (7)'!$A$1:$M$121</definedName>
    <definedName name="_xlnm.Print_Area" localSheetId="19">'Overflow (8)'!$A$1:$M$121</definedName>
    <definedName name="_xlnm.Print_Area" localSheetId="2">'Print Return'!$A$1:$N$242</definedName>
    <definedName name="_xlnm.Print_Area" localSheetId="10">'Tax Rates'!$A$1:$C$343</definedName>
    <definedName name="_xlnm.Print_Titles" localSheetId="9">Cities!$A:$C,Cities!$1:$2</definedName>
  </definedNames>
  <calcPr calcId="191029"/>
</workbook>
</file>

<file path=xl/calcChain.xml><?xml version="1.0" encoding="utf-8"?>
<calcChain xmlns="http://schemas.openxmlformats.org/spreadsheetml/2006/main">
  <c r="B110" i="2" l="1"/>
  <c r="G48" i="16" l="1"/>
  <c r="F111" i="11" l="1"/>
  <c r="F111" i="26" l="1"/>
  <c r="F111" i="25"/>
  <c r="F111" i="24"/>
  <c r="F111" i="23"/>
  <c r="F111" i="21"/>
  <c r="F111" i="18"/>
  <c r="F112" i="11" s="1"/>
  <c r="F111" i="17"/>
  <c r="J108" i="2" l="1"/>
  <c r="G9" i="29" l="1"/>
  <c r="G6" i="29"/>
  <c r="G4" i="29"/>
  <c r="G2" i="29"/>
  <c r="F5" i="29"/>
  <c r="F7" i="29"/>
  <c r="F8" i="29"/>
  <c r="F11" i="29"/>
  <c r="F12" i="29"/>
  <c r="F13" i="29"/>
  <c r="F14" i="29"/>
  <c r="F15" i="29"/>
  <c r="F16" i="29"/>
  <c r="F17" i="29"/>
  <c r="F18" i="29"/>
  <c r="F19" i="29"/>
  <c r="F20" i="29"/>
  <c r="F21" i="29"/>
  <c r="F22" i="29"/>
  <c r="F23" i="29"/>
  <c r="F24" i="29"/>
  <c r="F25" i="29"/>
  <c r="F26" i="29"/>
  <c r="D5" i="29"/>
  <c r="D7" i="29"/>
  <c r="D8" i="29"/>
  <c r="D10" i="29"/>
  <c r="D11" i="29"/>
  <c r="D12" i="29"/>
  <c r="D13" i="29"/>
  <c r="D14" i="29"/>
  <c r="D15" i="29"/>
  <c r="D16" i="29"/>
  <c r="D17" i="29"/>
  <c r="D18" i="29"/>
  <c r="D19" i="29"/>
  <c r="D20" i="29"/>
  <c r="D21" i="29"/>
  <c r="D22" i="29"/>
  <c r="D23" i="29"/>
  <c r="D24" i="29"/>
  <c r="D25" i="29"/>
  <c r="D26" i="29"/>
  <c r="F3" i="29"/>
  <c r="D3" i="29"/>
  <c r="G3" i="29" l="1"/>
  <c r="G5" i="29"/>
  <c r="G26" i="29"/>
  <c r="G22" i="29"/>
  <c r="G18" i="29"/>
  <c r="G14" i="29"/>
  <c r="G25" i="29"/>
  <c r="G21" i="29"/>
  <c r="G17" i="29"/>
  <c r="G13" i="29"/>
  <c r="G24" i="29"/>
  <c r="G20" i="29"/>
  <c r="G16" i="29"/>
  <c r="G12" i="29"/>
  <c r="G23" i="29"/>
  <c r="G19" i="29"/>
  <c r="G15" i="29"/>
  <c r="G11" i="29"/>
  <c r="G10" i="29"/>
  <c r="G8" i="29"/>
  <c r="G7" i="29"/>
  <c r="A67" i="26"/>
  <c r="A68" i="26" s="1"/>
  <c r="A69" i="26" s="1"/>
  <c r="A70" i="26" s="1"/>
  <c r="A71" i="26" s="1"/>
  <c r="A72" i="26" s="1"/>
  <c r="A73" i="26" s="1"/>
  <c r="A74" i="26" s="1"/>
  <c r="A75" i="26" s="1"/>
  <c r="A76" i="26" s="1"/>
  <c r="A77" i="26" s="1"/>
  <c r="A78" i="26" s="1"/>
  <c r="A79" i="26" s="1"/>
  <c r="A80" i="26" s="1"/>
  <c r="A81" i="26" s="1"/>
  <c r="A82" i="26" s="1"/>
  <c r="A83" i="26" s="1"/>
  <c r="A84" i="26" s="1"/>
  <c r="A85" i="26" s="1"/>
  <c r="A86" i="26" s="1"/>
  <c r="A87" i="26" s="1"/>
  <c r="A88" i="26" s="1"/>
  <c r="A89" i="26" s="1"/>
  <c r="A90" i="26" s="1"/>
  <c r="A91" i="26" s="1"/>
  <c r="A92" i="26" s="1"/>
  <c r="A93" i="26" s="1"/>
  <c r="A94" i="26" s="1"/>
  <c r="A95" i="26" s="1"/>
  <c r="A96" i="26" s="1"/>
  <c r="A97" i="26" s="1"/>
  <c r="A98" i="26" s="1"/>
  <c r="A99" i="26" s="1"/>
  <c r="A100" i="26" s="1"/>
  <c r="A101" i="26" s="1"/>
  <c r="A102" i="26" s="1"/>
  <c r="A103" i="26" s="1"/>
  <c r="A104" i="26" s="1"/>
  <c r="A105" i="26" s="1"/>
  <c r="A106" i="26" s="1"/>
  <c r="A107" i="26" s="1"/>
  <c r="A108" i="26" s="1"/>
  <c r="A109" i="26" s="1"/>
  <c r="A110" i="26" s="1"/>
  <c r="A13" i="26"/>
  <c r="A14" i="26" s="1"/>
  <c r="A15" i="26" s="1"/>
  <c r="A16" i="26" s="1"/>
  <c r="A17" i="26" s="1"/>
  <c r="A18" i="26" s="1"/>
  <c r="A19" i="26" s="1"/>
  <c r="A20" i="26" s="1"/>
  <c r="A21" i="26" s="1"/>
  <c r="A22" i="26" s="1"/>
  <c r="A23" i="26" s="1"/>
  <c r="A24" i="26" s="1"/>
  <c r="A25" i="26" s="1"/>
  <c r="A26" i="26" s="1"/>
  <c r="A27" i="26" s="1"/>
  <c r="A28" i="26" s="1"/>
  <c r="A29" i="26" s="1"/>
  <c r="A30" i="26" s="1"/>
  <c r="A31" i="26" s="1"/>
  <c r="A32" i="26" s="1"/>
  <c r="A33" i="26" s="1"/>
  <c r="A34" i="26" s="1"/>
  <c r="A35" i="26" s="1"/>
  <c r="A36" i="26" s="1"/>
  <c r="A37" i="26" s="1"/>
  <c r="A38" i="26" s="1"/>
  <c r="A39" i="26" s="1"/>
  <c r="A40" i="26" s="1"/>
  <c r="A41" i="26" s="1"/>
  <c r="A42" i="26" s="1"/>
  <c r="A43" i="26" s="1"/>
  <c r="A44" i="26" s="1"/>
  <c r="A45" i="26" s="1"/>
  <c r="A46" i="26" s="1"/>
  <c r="A47" i="26" s="1"/>
  <c r="A48" i="26" s="1"/>
  <c r="A49" i="26" s="1"/>
  <c r="A50" i="26" s="1"/>
  <c r="A51" i="26" s="1"/>
  <c r="A52" i="26" s="1"/>
  <c r="A53" i="26" s="1"/>
  <c r="A54" i="26" s="1"/>
  <c r="A55" i="26" s="1"/>
  <c r="A56" i="26" s="1"/>
  <c r="A67" i="25"/>
  <c r="A68" i="25" s="1"/>
  <c r="A69" i="25" s="1"/>
  <c r="A70" i="25" s="1"/>
  <c r="A71" i="25" s="1"/>
  <c r="A72" i="25" s="1"/>
  <c r="A73" i="25" s="1"/>
  <c r="A74" i="25" s="1"/>
  <c r="A75" i="25" s="1"/>
  <c r="A76" i="25" s="1"/>
  <c r="A77" i="25" s="1"/>
  <c r="A78" i="25" s="1"/>
  <c r="A79" i="25" s="1"/>
  <c r="A80" i="25" s="1"/>
  <c r="A81" i="25" s="1"/>
  <c r="A82" i="25" s="1"/>
  <c r="A83" i="25" s="1"/>
  <c r="A84" i="25" s="1"/>
  <c r="A85" i="25" s="1"/>
  <c r="A86" i="25" s="1"/>
  <c r="A87" i="25" s="1"/>
  <c r="A88" i="25" s="1"/>
  <c r="A89" i="25" s="1"/>
  <c r="A90" i="25" s="1"/>
  <c r="A91" i="25" s="1"/>
  <c r="A92" i="25" s="1"/>
  <c r="A93" i="25" s="1"/>
  <c r="A94" i="25" s="1"/>
  <c r="A95" i="25" s="1"/>
  <c r="A96" i="25" s="1"/>
  <c r="A97" i="25" s="1"/>
  <c r="A98" i="25" s="1"/>
  <c r="A99" i="25" s="1"/>
  <c r="A100" i="25" s="1"/>
  <c r="A101" i="25" s="1"/>
  <c r="A102" i="25" s="1"/>
  <c r="A103" i="25" s="1"/>
  <c r="A104" i="25" s="1"/>
  <c r="A105" i="25" s="1"/>
  <c r="A106" i="25" s="1"/>
  <c r="A107" i="25" s="1"/>
  <c r="A108" i="25" s="1"/>
  <c r="A109" i="25" s="1"/>
  <c r="A110" i="25" s="1"/>
  <c r="A13" i="25"/>
  <c r="A14" i="25" s="1"/>
  <c r="A15" i="25" s="1"/>
  <c r="A16" i="25" s="1"/>
  <c r="A17" i="25" s="1"/>
  <c r="A18" i="25" s="1"/>
  <c r="A19" i="25" s="1"/>
  <c r="A20" i="25" s="1"/>
  <c r="A21" i="25" s="1"/>
  <c r="A22" i="25" s="1"/>
  <c r="A23" i="25" s="1"/>
  <c r="A24" i="25" s="1"/>
  <c r="A25" i="25" s="1"/>
  <c r="A26" i="25" s="1"/>
  <c r="A27" i="25" s="1"/>
  <c r="A28" i="25" s="1"/>
  <c r="A29" i="25" s="1"/>
  <c r="A30" i="25" s="1"/>
  <c r="A31" i="25" s="1"/>
  <c r="A32" i="25" s="1"/>
  <c r="A33" i="25" s="1"/>
  <c r="A34" i="25" s="1"/>
  <c r="A35" i="25" s="1"/>
  <c r="A36" i="25" s="1"/>
  <c r="A37" i="25" s="1"/>
  <c r="A38" i="25" s="1"/>
  <c r="A39" i="25" s="1"/>
  <c r="A40" i="25" s="1"/>
  <c r="A41" i="25" s="1"/>
  <c r="A42" i="25" s="1"/>
  <c r="A43" i="25" s="1"/>
  <c r="A44" i="25" s="1"/>
  <c r="A45" i="25" s="1"/>
  <c r="A46" i="25" s="1"/>
  <c r="A47" i="25" s="1"/>
  <c r="A48" i="25" s="1"/>
  <c r="A49" i="25" s="1"/>
  <c r="A50" i="25" s="1"/>
  <c r="A51" i="25" s="1"/>
  <c r="A52" i="25" s="1"/>
  <c r="A53" i="25" s="1"/>
  <c r="A54" i="25" s="1"/>
  <c r="A55" i="25" s="1"/>
  <c r="A56" i="25" s="1"/>
  <c r="A67" i="24"/>
  <c r="A68" i="24" s="1"/>
  <c r="A69" i="24" s="1"/>
  <c r="A70" i="24" s="1"/>
  <c r="A71" i="24" s="1"/>
  <c r="A72" i="24" s="1"/>
  <c r="A73" i="24" s="1"/>
  <c r="A74" i="24" s="1"/>
  <c r="A75" i="24" s="1"/>
  <c r="A76" i="24" s="1"/>
  <c r="A77" i="24" s="1"/>
  <c r="A78" i="24" s="1"/>
  <c r="A79" i="24" s="1"/>
  <c r="A80" i="24" s="1"/>
  <c r="A81" i="24" s="1"/>
  <c r="A82" i="24" s="1"/>
  <c r="A83" i="24" s="1"/>
  <c r="A84" i="24" s="1"/>
  <c r="A85" i="24" s="1"/>
  <c r="A86" i="24" s="1"/>
  <c r="A87" i="24" s="1"/>
  <c r="A88" i="24" s="1"/>
  <c r="A89" i="24" s="1"/>
  <c r="A90" i="24" s="1"/>
  <c r="A91" i="24" s="1"/>
  <c r="A92" i="24" s="1"/>
  <c r="A93" i="24" s="1"/>
  <c r="A94" i="24" s="1"/>
  <c r="A95" i="24" s="1"/>
  <c r="A96" i="24" s="1"/>
  <c r="A97" i="24" s="1"/>
  <c r="A98" i="24" s="1"/>
  <c r="A99" i="24" s="1"/>
  <c r="A100" i="24" s="1"/>
  <c r="A101" i="24" s="1"/>
  <c r="A102" i="24" s="1"/>
  <c r="A103" i="24" s="1"/>
  <c r="A104" i="24" s="1"/>
  <c r="A105" i="24" s="1"/>
  <c r="A106" i="24" s="1"/>
  <c r="A107" i="24" s="1"/>
  <c r="A108" i="24" s="1"/>
  <c r="A109" i="24" s="1"/>
  <c r="A110" i="24" s="1"/>
  <c r="A13" i="24"/>
  <c r="A14" i="24" s="1"/>
  <c r="A15" i="24" s="1"/>
  <c r="A16" i="24" s="1"/>
  <c r="A17" i="24" s="1"/>
  <c r="A18" i="24" s="1"/>
  <c r="A19" i="24" s="1"/>
  <c r="A20" i="24" s="1"/>
  <c r="A21" i="24" s="1"/>
  <c r="A22" i="24" s="1"/>
  <c r="A23" i="24" s="1"/>
  <c r="A24" i="24" s="1"/>
  <c r="A25" i="24" s="1"/>
  <c r="A26" i="24" s="1"/>
  <c r="A27" i="24" s="1"/>
  <c r="A28" i="24" s="1"/>
  <c r="A29" i="24" s="1"/>
  <c r="A30" i="24" s="1"/>
  <c r="A31" i="24" s="1"/>
  <c r="A32" i="24" s="1"/>
  <c r="A33" i="24" s="1"/>
  <c r="A34" i="24" s="1"/>
  <c r="A35" i="24" s="1"/>
  <c r="A36" i="24" s="1"/>
  <c r="A37" i="24" s="1"/>
  <c r="A38" i="24" s="1"/>
  <c r="A39" i="24" s="1"/>
  <c r="A40" i="24" s="1"/>
  <c r="A41" i="24" s="1"/>
  <c r="A42" i="24" s="1"/>
  <c r="A43" i="24" s="1"/>
  <c r="A44" i="24" s="1"/>
  <c r="A45" i="24" s="1"/>
  <c r="A46" i="24" s="1"/>
  <c r="A47" i="24" s="1"/>
  <c r="A48" i="24" s="1"/>
  <c r="A49" i="24" s="1"/>
  <c r="A50" i="24" s="1"/>
  <c r="A51" i="24" s="1"/>
  <c r="A52" i="24" s="1"/>
  <c r="A53" i="24" s="1"/>
  <c r="A54" i="24" s="1"/>
  <c r="A55" i="24" s="1"/>
  <c r="A56" i="24" s="1"/>
  <c r="A67" i="23"/>
  <c r="A68" i="23" s="1"/>
  <c r="A69" i="23" s="1"/>
  <c r="A70" i="23" s="1"/>
  <c r="A71" i="23" s="1"/>
  <c r="A72" i="23" s="1"/>
  <c r="A73" i="23" s="1"/>
  <c r="A74" i="23" s="1"/>
  <c r="A75" i="23" s="1"/>
  <c r="A76" i="23" s="1"/>
  <c r="A77" i="23" s="1"/>
  <c r="A78" i="23" s="1"/>
  <c r="A79" i="23" s="1"/>
  <c r="A80" i="23" s="1"/>
  <c r="A81" i="23" s="1"/>
  <c r="A82" i="23" s="1"/>
  <c r="A83" i="23" s="1"/>
  <c r="A84" i="23" s="1"/>
  <c r="A85" i="23" s="1"/>
  <c r="A86" i="23" s="1"/>
  <c r="A87" i="23" s="1"/>
  <c r="A88" i="23" s="1"/>
  <c r="A89" i="23" s="1"/>
  <c r="A90" i="23" s="1"/>
  <c r="A91" i="23" s="1"/>
  <c r="A92" i="23" s="1"/>
  <c r="A93" i="23" s="1"/>
  <c r="A94" i="23" s="1"/>
  <c r="A95" i="23" s="1"/>
  <c r="A96" i="23" s="1"/>
  <c r="A97" i="23" s="1"/>
  <c r="A98" i="23" s="1"/>
  <c r="A99" i="23" s="1"/>
  <c r="A100" i="23" s="1"/>
  <c r="A101" i="23" s="1"/>
  <c r="A102" i="23" s="1"/>
  <c r="A103" i="23" s="1"/>
  <c r="A104" i="23" s="1"/>
  <c r="A105" i="23" s="1"/>
  <c r="A106" i="23" s="1"/>
  <c r="A107" i="23" s="1"/>
  <c r="A108" i="23" s="1"/>
  <c r="A109" i="23" s="1"/>
  <c r="A110" i="23" s="1"/>
  <c r="A13" i="23"/>
  <c r="A14" i="23" s="1"/>
  <c r="A15" i="23" s="1"/>
  <c r="A16" i="23" s="1"/>
  <c r="A17" i="23" s="1"/>
  <c r="A18" i="23" s="1"/>
  <c r="A19" i="23" s="1"/>
  <c r="A20" i="23" s="1"/>
  <c r="A21" i="23" s="1"/>
  <c r="A22" i="23" s="1"/>
  <c r="A23" i="23" s="1"/>
  <c r="A24" i="23" s="1"/>
  <c r="A25" i="23" s="1"/>
  <c r="A26" i="23" s="1"/>
  <c r="A27" i="23" s="1"/>
  <c r="A28" i="23" s="1"/>
  <c r="A29" i="23" s="1"/>
  <c r="A30" i="23" s="1"/>
  <c r="A31" i="23" s="1"/>
  <c r="A32" i="23" s="1"/>
  <c r="A33" i="23" s="1"/>
  <c r="A34" i="23" s="1"/>
  <c r="A35" i="23" s="1"/>
  <c r="A36" i="23" s="1"/>
  <c r="A37" i="23" s="1"/>
  <c r="A38" i="23" s="1"/>
  <c r="A39" i="23" s="1"/>
  <c r="A40" i="23" s="1"/>
  <c r="A41" i="23" s="1"/>
  <c r="A42" i="23" s="1"/>
  <c r="A43" i="23" s="1"/>
  <c r="A44" i="23" s="1"/>
  <c r="A45" i="23" s="1"/>
  <c r="A46" i="23" s="1"/>
  <c r="A47" i="23" s="1"/>
  <c r="A48" i="23" s="1"/>
  <c r="A49" i="23" s="1"/>
  <c r="A50" i="23" s="1"/>
  <c r="A51" i="23" s="1"/>
  <c r="A52" i="23" s="1"/>
  <c r="A53" i="23" s="1"/>
  <c r="A54" i="23" s="1"/>
  <c r="A55" i="23" s="1"/>
  <c r="A56" i="23" s="1"/>
  <c r="A67" i="21"/>
  <c r="A68" i="21" s="1"/>
  <c r="A69" i="21" s="1"/>
  <c r="A70" i="21" s="1"/>
  <c r="A71" i="21" s="1"/>
  <c r="A72" i="21" s="1"/>
  <c r="A73" i="21" s="1"/>
  <c r="A74" i="21" s="1"/>
  <c r="A75" i="21" s="1"/>
  <c r="A76" i="21" s="1"/>
  <c r="A77" i="21" s="1"/>
  <c r="A78" i="21" s="1"/>
  <c r="A79" i="21" s="1"/>
  <c r="A80" i="21" s="1"/>
  <c r="A81" i="21" s="1"/>
  <c r="A82" i="21" s="1"/>
  <c r="A83" i="21" s="1"/>
  <c r="A84" i="21" s="1"/>
  <c r="A85" i="21" s="1"/>
  <c r="A86" i="21" s="1"/>
  <c r="A87" i="21" s="1"/>
  <c r="A88" i="21" s="1"/>
  <c r="A89" i="21" s="1"/>
  <c r="A90" i="21" s="1"/>
  <c r="A91" i="21" s="1"/>
  <c r="A92" i="21" s="1"/>
  <c r="A93" i="21" s="1"/>
  <c r="A94" i="21" s="1"/>
  <c r="A95" i="21" s="1"/>
  <c r="A96" i="21" s="1"/>
  <c r="A97" i="21" s="1"/>
  <c r="A98" i="21" s="1"/>
  <c r="A99" i="21" s="1"/>
  <c r="A100" i="21" s="1"/>
  <c r="A101" i="21" s="1"/>
  <c r="A102" i="21" s="1"/>
  <c r="A103" i="21" s="1"/>
  <c r="A104" i="21" s="1"/>
  <c r="A105" i="21" s="1"/>
  <c r="A106" i="21" s="1"/>
  <c r="A107" i="21" s="1"/>
  <c r="A108" i="21" s="1"/>
  <c r="A109" i="21" s="1"/>
  <c r="A110" i="21" s="1"/>
  <c r="A13" i="21"/>
  <c r="A14" i="21" s="1"/>
  <c r="A15" i="21" s="1"/>
  <c r="A16" i="21" s="1"/>
  <c r="A17" i="21" s="1"/>
  <c r="A18" i="21" s="1"/>
  <c r="A19" i="21" s="1"/>
  <c r="A20" i="21" s="1"/>
  <c r="A21" i="21" s="1"/>
  <c r="A22" i="21" s="1"/>
  <c r="A23" i="21" s="1"/>
  <c r="A24" i="21" s="1"/>
  <c r="A25" i="21" s="1"/>
  <c r="A26" i="21" s="1"/>
  <c r="A27" i="21" s="1"/>
  <c r="A28" i="21" s="1"/>
  <c r="A29" i="21" s="1"/>
  <c r="A30" i="21" s="1"/>
  <c r="A31" i="21" s="1"/>
  <c r="A32" i="21" s="1"/>
  <c r="A33" i="21" s="1"/>
  <c r="A34" i="21" s="1"/>
  <c r="A35" i="21" s="1"/>
  <c r="A36" i="21" s="1"/>
  <c r="A37" i="21" s="1"/>
  <c r="A38" i="21" s="1"/>
  <c r="A39" i="21" s="1"/>
  <c r="A40" i="21" s="1"/>
  <c r="A41" i="21" s="1"/>
  <c r="A42" i="21" s="1"/>
  <c r="A43" i="21" s="1"/>
  <c r="A44" i="21" s="1"/>
  <c r="A45" i="21" s="1"/>
  <c r="A46" i="21" s="1"/>
  <c r="A47" i="21" s="1"/>
  <c r="A48" i="21" s="1"/>
  <c r="A49" i="21" s="1"/>
  <c r="A50" i="21" s="1"/>
  <c r="A51" i="21" s="1"/>
  <c r="A52" i="21" s="1"/>
  <c r="A53" i="21" s="1"/>
  <c r="A54" i="21" s="1"/>
  <c r="A55" i="21" s="1"/>
  <c r="A56" i="21" s="1"/>
  <c r="AA328" i="5" l="1"/>
  <c r="AA318" i="5"/>
  <c r="AA147" i="5"/>
  <c r="AA113" i="5"/>
  <c r="AA114" i="5"/>
  <c r="AA73" i="5"/>
  <c r="AA55" i="5"/>
  <c r="AA38" i="5"/>
  <c r="J13" i="9" l="1"/>
  <c r="J14" i="9"/>
  <c r="J15" i="9"/>
  <c r="J16" i="9"/>
  <c r="J12" i="9"/>
  <c r="AA6" i="5" l="1"/>
  <c r="AA7" i="5"/>
  <c r="AA8" i="5"/>
  <c r="AA9" i="5"/>
  <c r="AA10" i="5"/>
  <c r="AA11" i="5"/>
  <c r="AA12" i="5"/>
  <c r="AA13" i="5"/>
  <c r="AA14" i="5"/>
  <c r="AA15" i="5"/>
  <c r="AA16" i="5"/>
  <c r="AA17" i="5"/>
  <c r="AA18" i="5"/>
  <c r="AA19" i="5"/>
  <c r="AA20" i="5"/>
  <c r="AA21" i="5"/>
  <c r="AA22" i="5"/>
  <c r="AA23" i="5"/>
  <c r="AA24" i="5"/>
  <c r="AA25" i="5"/>
  <c r="AA26" i="5"/>
  <c r="AA27" i="5"/>
  <c r="AA28" i="5"/>
  <c r="AA29" i="5"/>
  <c r="AA30" i="5"/>
  <c r="AA31" i="5"/>
  <c r="AA32" i="5"/>
  <c r="AA33" i="5"/>
  <c r="AA34" i="5"/>
  <c r="AA35" i="5"/>
  <c r="AA36" i="5"/>
  <c r="AA37" i="5"/>
  <c r="AA39" i="5"/>
  <c r="AA40" i="5"/>
  <c r="AA41" i="5"/>
  <c r="AA42" i="5"/>
  <c r="AA43" i="5"/>
  <c r="AA44" i="5"/>
  <c r="AA45" i="5"/>
  <c r="AA46" i="5"/>
  <c r="AA47" i="5"/>
  <c r="AA48" i="5"/>
  <c r="AA49" i="5"/>
  <c r="AA50" i="5"/>
  <c r="AA51" i="5"/>
  <c r="AA52" i="5"/>
  <c r="AA53" i="5"/>
  <c r="AA54" i="5"/>
  <c r="AA56" i="5"/>
  <c r="AA57" i="5"/>
  <c r="AA58" i="5"/>
  <c r="AA59" i="5"/>
  <c r="AA60" i="5"/>
  <c r="AA61" i="5"/>
  <c r="AA62" i="5"/>
  <c r="AA63" i="5"/>
  <c r="AA64" i="5"/>
  <c r="AA65" i="5"/>
  <c r="AA66" i="5"/>
  <c r="AA67" i="5"/>
  <c r="AA68" i="5"/>
  <c r="AA69" i="5"/>
  <c r="AA70" i="5"/>
  <c r="AA71" i="5"/>
  <c r="AA72" i="5"/>
  <c r="AA74" i="5"/>
  <c r="AA75" i="5"/>
  <c r="AA76" i="5"/>
  <c r="AA77" i="5"/>
  <c r="AA78" i="5"/>
  <c r="AA79" i="5"/>
  <c r="AA80" i="5"/>
  <c r="AA81" i="5"/>
  <c r="AA82" i="5"/>
  <c r="AA83" i="5"/>
  <c r="AA84" i="5"/>
  <c r="AA85" i="5"/>
  <c r="AA86" i="5"/>
  <c r="AA87" i="5"/>
  <c r="AA88" i="5"/>
  <c r="AA89" i="5"/>
  <c r="AA90" i="5"/>
  <c r="AA91" i="5"/>
  <c r="AA92" i="5"/>
  <c r="AA93" i="5"/>
  <c r="AA94" i="5"/>
  <c r="AA95" i="5"/>
  <c r="AA96" i="5"/>
  <c r="AA97" i="5"/>
  <c r="AA98" i="5"/>
  <c r="AA99" i="5"/>
  <c r="AA100" i="5"/>
  <c r="AA101" i="5"/>
  <c r="AA102" i="5"/>
  <c r="AA103" i="5"/>
  <c r="AA104" i="5"/>
  <c r="AA105" i="5"/>
  <c r="AA106" i="5"/>
  <c r="AA107" i="5"/>
  <c r="AA108" i="5"/>
  <c r="AA109" i="5"/>
  <c r="AA110" i="5"/>
  <c r="AA111" i="5"/>
  <c r="AA112" i="5"/>
  <c r="AA115" i="5"/>
  <c r="AA116" i="5"/>
  <c r="AA117" i="5"/>
  <c r="AA118" i="5"/>
  <c r="AA119" i="5"/>
  <c r="AA120" i="5"/>
  <c r="AA121" i="5"/>
  <c r="AA122" i="5"/>
  <c r="AA123" i="5"/>
  <c r="AA124" i="5"/>
  <c r="AA125" i="5"/>
  <c r="AA126" i="5"/>
  <c r="AA127" i="5"/>
  <c r="AA128" i="5"/>
  <c r="AA129" i="5"/>
  <c r="AA130" i="5"/>
  <c r="AA131" i="5"/>
  <c r="AA132" i="5"/>
  <c r="AA133" i="5"/>
  <c r="AA134" i="5"/>
  <c r="AA135" i="5"/>
  <c r="AA136" i="5"/>
  <c r="AA137" i="5"/>
  <c r="AA138" i="5"/>
  <c r="AA139" i="5"/>
  <c r="AA140" i="5"/>
  <c r="AA141" i="5"/>
  <c r="AA142" i="5"/>
  <c r="AA143" i="5"/>
  <c r="AA144" i="5"/>
  <c r="AA145" i="5"/>
  <c r="AA146" i="5"/>
  <c r="AA148" i="5"/>
  <c r="AA149" i="5"/>
  <c r="AA150" i="5"/>
  <c r="AA151" i="5"/>
  <c r="AA152" i="5"/>
  <c r="AA153" i="5"/>
  <c r="AA154" i="5"/>
  <c r="AA155" i="5"/>
  <c r="AA156" i="5"/>
  <c r="AA157" i="5"/>
  <c r="AA158" i="5"/>
  <c r="AA159" i="5"/>
  <c r="AA160" i="5"/>
  <c r="AA161" i="5"/>
  <c r="AA162" i="5"/>
  <c r="AA163" i="5"/>
  <c r="AA164" i="5"/>
  <c r="AA165" i="5"/>
  <c r="AA166" i="5"/>
  <c r="AA167" i="5"/>
  <c r="AA168" i="5"/>
  <c r="AA169" i="5"/>
  <c r="AA170" i="5"/>
  <c r="AA171" i="5"/>
  <c r="AA172" i="5"/>
  <c r="AA173" i="5"/>
  <c r="AA174" i="5"/>
  <c r="AA175" i="5"/>
  <c r="AA176" i="5"/>
  <c r="AA177" i="5"/>
  <c r="AA178" i="5"/>
  <c r="AA179" i="5"/>
  <c r="AA180" i="5"/>
  <c r="AA181" i="5"/>
  <c r="AA182" i="5"/>
  <c r="AA183" i="5"/>
  <c r="AA187" i="5"/>
  <c r="AA188" i="5"/>
  <c r="AA189" i="5"/>
  <c r="AA190" i="5"/>
  <c r="AA191" i="5"/>
  <c r="AA192" i="5"/>
  <c r="AA193" i="5"/>
  <c r="AA194" i="5"/>
  <c r="AA195" i="5"/>
  <c r="AA196" i="5"/>
  <c r="AA197" i="5"/>
  <c r="AA198" i="5"/>
  <c r="AA199" i="5"/>
  <c r="AA200" i="5"/>
  <c r="AA201" i="5"/>
  <c r="AA202" i="5"/>
  <c r="AA203" i="5"/>
  <c r="AA204" i="5"/>
  <c r="AA205" i="5"/>
  <c r="AA206" i="5"/>
  <c r="AA207" i="5"/>
  <c r="AA208" i="5"/>
  <c r="AA209" i="5"/>
  <c r="AA210" i="5"/>
  <c r="AA211" i="5"/>
  <c r="AA212" i="5"/>
  <c r="AA213" i="5"/>
  <c r="AA214" i="5"/>
  <c r="AA215" i="5"/>
  <c r="AA216" i="5"/>
  <c r="AA217" i="5"/>
  <c r="AA218" i="5"/>
  <c r="AA219" i="5"/>
  <c r="AA220" i="5"/>
  <c r="AA221" i="5"/>
  <c r="AA222" i="5"/>
  <c r="AA223" i="5"/>
  <c r="AA224" i="5"/>
  <c r="AA225" i="5"/>
  <c r="AA226" i="5"/>
  <c r="AA227" i="5"/>
  <c r="AA228" i="5"/>
  <c r="AA229" i="5"/>
  <c r="AA230" i="5"/>
  <c r="AA231" i="5"/>
  <c r="AA232" i="5"/>
  <c r="AA233" i="5"/>
  <c r="AA234" i="5"/>
  <c r="AA235" i="5"/>
  <c r="AA236" i="5"/>
  <c r="AA237" i="5"/>
  <c r="AA238" i="5"/>
  <c r="AA239" i="5"/>
  <c r="AA240" i="5"/>
  <c r="AA241" i="5"/>
  <c r="AA242" i="5"/>
  <c r="AA243" i="5"/>
  <c r="AA244" i="5"/>
  <c r="AA245" i="5"/>
  <c r="AA246" i="5"/>
  <c r="AA247" i="5"/>
  <c r="AA248" i="5"/>
  <c r="AA249" i="5"/>
  <c r="AA250" i="5"/>
  <c r="AA251" i="5"/>
  <c r="AA252" i="5"/>
  <c r="AA253" i="5"/>
  <c r="AA254" i="5"/>
  <c r="AA255" i="5"/>
  <c r="AA256" i="5"/>
  <c r="AA257" i="5"/>
  <c r="AA258" i="5"/>
  <c r="AA259" i="5"/>
  <c r="AA260" i="5"/>
  <c r="AA261" i="5"/>
  <c r="AA262" i="5"/>
  <c r="AA263" i="5"/>
  <c r="AA264" i="5"/>
  <c r="AA265" i="5"/>
  <c r="AA266" i="5"/>
  <c r="AA267" i="5"/>
  <c r="AA268" i="5"/>
  <c r="AA269" i="5"/>
  <c r="AA270" i="5"/>
  <c r="AA271" i="5"/>
  <c r="AA272" i="5"/>
  <c r="AA273" i="5"/>
  <c r="AA274" i="5"/>
  <c r="AA275" i="5"/>
  <c r="AA276" i="5"/>
  <c r="AA277" i="5"/>
  <c r="AA278" i="5"/>
  <c r="AA279" i="5"/>
  <c r="AA280" i="5"/>
  <c r="AA281" i="5"/>
  <c r="AA282" i="5"/>
  <c r="AA283" i="5"/>
  <c r="AA284" i="5"/>
  <c r="AA285" i="5"/>
  <c r="AA286" i="5"/>
  <c r="AA287" i="5"/>
  <c r="AA288" i="5"/>
  <c r="AA289" i="5"/>
  <c r="AA290" i="5"/>
  <c r="AA291" i="5"/>
  <c r="AA292" i="5"/>
  <c r="AA293" i="5"/>
  <c r="AA294" i="5"/>
  <c r="AA295" i="5"/>
  <c r="AA296" i="5"/>
  <c r="AA297" i="5"/>
  <c r="AA298" i="5"/>
  <c r="AA299" i="5"/>
  <c r="AA300" i="5"/>
  <c r="AA301" i="5"/>
  <c r="AA302" i="5"/>
  <c r="AA303" i="5"/>
  <c r="AA304" i="5"/>
  <c r="AA305" i="5"/>
  <c r="AA306" i="5"/>
  <c r="AA307" i="5"/>
  <c r="AA308" i="5"/>
  <c r="AA309" i="5"/>
  <c r="AA310" i="5"/>
  <c r="AA311" i="5"/>
  <c r="AA312" i="5"/>
  <c r="AA313" i="5"/>
  <c r="AA314" i="5"/>
  <c r="AA315" i="5"/>
  <c r="AA316" i="5"/>
  <c r="AA317" i="5"/>
  <c r="AA319" i="5"/>
  <c r="AA320" i="5"/>
  <c r="AA321" i="5"/>
  <c r="AA322" i="5"/>
  <c r="AA323" i="5"/>
  <c r="AA324" i="5"/>
  <c r="AA325" i="5"/>
  <c r="AA326" i="5"/>
  <c r="AA327" i="5"/>
  <c r="AA329" i="5"/>
  <c r="AA330" i="5"/>
  <c r="AA331" i="5"/>
  <c r="AA332" i="5"/>
  <c r="AA333" i="5"/>
  <c r="AA334" i="5"/>
  <c r="AA335" i="5"/>
  <c r="AA336" i="5"/>
  <c r="AA337" i="5"/>
  <c r="AA338" i="5"/>
  <c r="AA339" i="5"/>
  <c r="AA340" i="5"/>
  <c r="AA341" i="5"/>
  <c r="AA342" i="5"/>
  <c r="AA343" i="5"/>
  <c r="AA5" i="5"/>
  <c r="AA4" i="5"/>
  <c r="A16" i="28" l="1"/>
  <c r="H13" i="28"/>
  <c r="G13" i="28"/>
  <c r="F13" i="28"/>
  <c r="E13" i="28"/>
  <c r="D13" i="28"/>
  <c r="C13" i="28"/>
  <c r="H12" i="28"/>
  <c r="G12" i="28"/>
  <c r="F12" i="28"/>
  <c r="E12" i="28"/>
  <c r="D12" i="28"/>
  <c r="C12" i="28"/>
  <c r="H11" i="28"/>
  <c r="G11" i="28"/>
  <c r="F11" i="28"/>
  <c r="E11" i="28"/>
  <c r="D11" i="28"/>
  <c r="C11" i="28"/>
  <c r="H10" i="28"/>
  <c r="G10" i="28"/>
  <c r="F10" i="28"/>
  <c r="E10" i="28"/>
  <c r="D10" i="28"/>
  <c r="C10" i="28"/>
  <c r="H9" i="28"/>
  <c r="G9" i="28"/>
  <c r="F9" i="28"/>
  <c r="E9" i="28"/>
  <c r="D9" i="28"/>
  <c r="C9" i="28"/>
  <c r="H8" i="28"/>
  <c r="G8" i="28"/>
  <c r="F8" i="28"/>
  <c r="E8" i="28"/>
  <c r="D8" i="28"/>
  <c r="C8" i="28"/>
  <c r="S398" i="27" l="1"/>
  <c r="E398" i="27"/>
  <c r="S397" i="27"/>
  <c r="E397" i="27"/>
  <c r="S396" i="27"/>
  <c r="E396" i="27"/>
  <c r="S395" i="27"/>
  <c r="E395" i="27"/>
  <c r="S394" i="27"/>
  <c r="E394" i="27"/>
  <c r="S393" i="27"/>
  <c r="E393" i="27"/>
  <c r="S392" i="27"/>
  <c r="E392" i="27"/>
  <c r="S391" i="27"/>
  <c r="E391" i="27"/>
  <c r="S390" i="27"/>
  <c r="E390" i="27"/>
  <c r="S389" i="27"/>
  <c r="E389" i="27"/>
  <c r="S388" i="27"/>
  <c r="E388" i="27"/>
  <c r="S387" i="27"/>
  <c r="E387" i="27"/>
  <c r="S386" i="27"/>
  <c r="E386" i="27"/>
  <c r="S385" i="27"/>
  <c r="E385" i="27"/>
  <c r="S384" i="27"/>
  <c r="E384" i="27"/>
  <c r="S383" i="27"/>
  <c r="E383" i="27"/>
  <c r="S382" i="27"/>
  <c r="E382" i="27"/>
  <c r="S381" i="27"/>
  <c r="E381" i="27"/>
  <c r="S380" i="27"/>
  <c r="E380" i="27"/>
  <c r="S379" i="27"/>
  <c r="E379" i="27"/>
  <c r="S378" i="27"/>
  <c r="E378" i="27"/>
  <c r="S377" i="27"/>
  <c r="E377" i="27"/>
  <c r="S376" i="27"/>
  <c r="E376" i="27"/>
  <c r="S375" i="27"/>
  <c r="E375" i="27"/>
  <c r="S374" i="27"/>
  <c r="E374" i="27"/>
  <c r="S373" i="27"/>
  <c r="E373" i="27"/>
  <c r="S372" i="27"/>
  <c r="E372" i="27"/>
  <c r="S371" i="27"/>
  <c r="E371" i="27"/>
  <c r="S370" i="27"/>
  <c r="E370" i="27"/>
  <c r="S369" i="27"/>
  <c r="E369" i="27"/>
  <c r="S368" i="27"/>
  <c r="E368" i="27"/>
  <c r="S367" i="27"/>
  <c r="E367" i="27"/>
  <c r="S366" i="27"/>
  <c r="E366" i="27"/>
  <c r="S365" i="27"/>
  <c r="E365" i="27"/>
  <c r="S364" i="27"/>
  <c r="E364" i="27"/>
  <c r="S363" i="27"/>
  <c r="E363" i="27"/>
  <c r="S362" i="27"/>
  <c r="E362" i="27"/>
  <c r="S361" i="27"/>
  <c r="E361" i="27"/>
  <c r="S360" i="27"/>
  <c r="E360" i="27"/>
  <c r="S359" i="27"/>
  <c r="E359" i="27"/>
  <c r="S358" i="27"/>
  <c r="E358" i="27"/>
  <c r="S357" i="27"/>
  <c r="E357" i="27"/>
  <c r="S356" i="27"/>
  <c r="E356" i="27"/>
  <c r="S355" i="27"/>
  <c r="E355" i="27"/>
  <c r="S354" i="27"/>
  <c r="E354" i="27"/>
  <c r="S348" i="27"/>
  <c r="E348" i="27"/>
  <c r="S347" i="27"/>
  <c r="E347" i="27"/>
  <c r="S346" i="27"/>
  <c r="E346" i="27"/>
  <c r="S345" i="27"/>
  <c r="E345" i="27"/>
  <c r="S344" i="27"/>
  <c r="E344" i="27"/>
  <c r="S343" i="27"/>
  <c r="E343" i="27"/>
  <c r="S342" i="27"/>
  <c r="E342" i="27"/>
  <c r="S341" i="27"/>
  <c r="E341" i="27"/>
  <c r="S340" i="27"/>
  <c r="E340" i="27"/>
  <c r="S339" i="27"/>
  <c r="E339" i="27"/>
  <c r="S338" i="27"/>
  <c r="E338" i="27"/>
  <c r="S337" i="27"/>
  <c r="E337" i="27"/>
  <c r="S336" i="27"/>
  <c r="E336" i="27"/>
  <c r="S335" i="27"/>
  <c r="E335" i="27"/>
  <c r="S334" i="27"/>
  <c r="E334" i="27"/>
  <c r="S333" i="27"/>
  <c r="E333" i="27"/>
  <c r="S332" i="27"/>
  <c r="E332" i="27"/>
  <c r="S331" i="27"/>
  <c r="E331" i="27"/>
  <c r="S330" i="27"/>
  <c r="E330" i="27"/>
  <c r="S329" i="27"/>
  <c r="E329" i="27"/>
  <c r="S328" i="27"/>
  <c r="E328" i="27"/>
  <c r="S327" i="27"/>
  <c r="E327" i="27"/>
  <c r="S326" i="27"/>
  <c r="E326" i="27"/>
  <c r="S325" i="27"/>
  <c r="E325" i="27"/>
  <c r="S324" i="27"/>
  <c r="E324" i="27"/>
  <c r="S323" i="27"/>
  <c r="E323" i="27"/>
  <c r="S322" i="27"/>
  <c r="E322" i="27"/>
  <c r="S321" i="27"/>
  <c r="E321" i="27"/>
  <c r="S320" i="27"/>
  <c r="E320" i="27"/>
  <c r="S319" i="27"/>
  <c r="E319" i="27"/>
  <c r="S318" i="27"/>
  <c r="E318" i="27"/>
  <c r="S317" i="27"/>
  <c r="E317" i="27"/>
  <c r="S316" i="27"/>
  <c r="E316" i="27"/>
  <c r="S315" i="27"/>
  <c r="E315" i="27"/>
  <c r="S314" i="27"/>
  <c r="E314" i="27"/>
  <c r="S313" i="27"/>
  <c r="E313" i="27"/>
  <c r="S312" i="27"/>
  <c r="E312" i="27"/>
  <c r="S311" i="27"/>
  <c r="E311" i="27"/>
  <c r="S310" i="27"/>
  <c r="E310" i="27"/>
  <c r="S309" i="27"/>
  <c r="E309" i="27"/>
  <c r="S308" i="27"/>
  <c r="E308" i="27"/>
  <c r="S307" i="27"/>
  <c r="E307" i="27"/>
  <c r="S306" i="27"/>
  <c r="E306" i="27"/>
  <c r="S305" i="27"/>
  <c r="E305" i="27"/>
  <c r="S304" i="27"/>
  <c r="E304" i="27"/>
  <c r="S298" i="27"/>
  <c r="E298" i="27"/>
  <c r="S297" i="27"/>
  <c r="E297" i="27"/>
  <c r="S296" i="27"/>
  <c r="E296" i="27"/>
  <c r="S295" i="27"/>
  <c r="E295" i="27"/>
  <c r="S294" i="27"/>
  <c r="E294" i="27"/>
  <c r="S293" i="27"/>
  <c r="E293" i="27"/>
  <c r="S292" i="27"/>
  <c r="E292" i="27"/>
  <c r="S291" i="27"/>
  <c r="E291" i="27"/>
  <c r="S290" i="27"/>
  <c r="E290" i="27"/>
  <c r="S289" i="27"/>
  <c r="E289" i="27"/>
  <c r="S288" i="27"/>
  <c r="E288" i="27"/>
  <c r="S287" i="27"/>
  <c r="E287" i="27"/>
  <c r="S286" i="27"/>
  <c r="E286" i="27"/>
  <c r="S285" i="27"/>
  <c r="E285" i="27"/>
  <c r="S284" i="27"/>
  <c r="E284" i="27"/>
  <c r="S283" i="27"/>
  <c r="E283" i="27"/>
  <c r="S282" i="27"/>
  <c r="E282" i="27"/>
  <c r="S281" i="27"/>
  <c r="E281" i="27"/>
  <c r="S280" i="27"/>
  <c r="E280" i="27"/>
  <c r="S279" i="27"/>
  <c r="E279" i="27"/>
  <c r="S278" i="27"/>
  <c r="E278" i="27"/>
  <c r="S277" i="27"/>
  <c r="E277" i="27"/>
  <c r="S276" i="27"/>
  <c r="E276" i="27"/>
  <c r="S275" i="27"/>
  <c r="E275" i="27"/>
  <c r="S274" i="27"/>
  <c r="E274" i="27"/>
  <c r="S273" i="27"/>
  <c r="E273" i="27"/>
  <c r="S272" i="27"/>
  <c r="E272" i="27"/>
  <c r="S271" i="27"/>
  <c r="E271" i="27"/>
  <c r="S270" i="27"/>
  <c r="E270" i="27"/>
  <c r="S269" i="27"/>
  <c r="E269" i="27"/>
  <c r="S268" i="27"/>
  <c r="E268" i="27"/>
  <c r="S267" i="27"/>
  <c r="E267" i="27"/>
  <c r="S266" i="27"/>
  <c r="E266" i="27"/>
  <c r="S265" i="27"/>
  <c r="E265" i="27"/>
  <c r="S264" i="27"/>
  <c r="E264" i="27"/>
  <c r="S263" i="27"/>
  <c r="E263" i="27"/>
  <c r="S262" i="27"/>
  <c r="E262" i="27"/>
  <c r="S261" i="27"/>
  <c r="E261" i="27"/>
  <c r="S260" i="27"/>
  <c r="E260" i="27"/>
  <c r="S259" i="27"/>
  <c r="E259" i="27"/>
  <c r="S258" i="27"/>
  <c r="E258" i="27"/>
  <c r="S257" i="27"/>
  <c r="E257" i="27"/>
  <c r="S256" i="27"/>
  <c r="E256" i="27"/>
  <c r="S255" i="27"/>
  <c r="E255" i="27"/>
  <c r="S254" i="27"/>
  <c r="E254" i="27"/>
  <c r="S248" i="27"/>
  <c r="E248" i="27"/>
  <c r="S247" i="27"/>
  <c r="E247" i="27"/>
  <c r="S246" i="27"/>
  <c r="E246" i="27"/>
  <c r="S245" i="27"/>
  <c r="E245" i="27"/>
  <c r="S244" i="27"/>
  <c r="E244" i="27"/>
  <c r="S243" i="27"/>
  <c r="E243" i="27"/>
  <c r="S242" i="27"/>
  <c r="E242" i="27"/>
  <c r="S241" i="27"/>
  <c r="E241" i="27"/>
  <c r="S240" i="27"/>
  <c r="E240" i="27"/>
  <c r="S239" i="27"/>
  <c r="E239" i="27"/>
  <c r="S238" i="27"/>
  <c r="E238" i="27"/>
  <c r="S237" i="27"/>
  <c r="E237" i="27"/>
  <c r="S236" i="27"/>
  <c r="E236" i="27"/>
  <c r="S235" i="27"/>
  <c r="E235" i="27"/>
  <c r="S234" i="27"/>
  <c r="E234" i="27"/>
  <c r="S233" i="27"/>
  <c r="E233" i="27"/>
  <c r="S232" i="27"/>
  <c r="E232" i="27"/>
  <c r="S231" i="27"/>
  <c r="E231" i="27"/>
  <c r="S230" i="27"/>
  <c r="E230" i="27"/>
  <c r="S229" i="27"/>
  <c r="E229" i="27"/>
  <c r="S228" i="27"/>
  <c r="E228" i="27"/>
  <c r="S227" i="27"/>
  <c r="E227" i="27"/>
  <c r="S226" i="27"/>
  <c r="E226" i="27"/>
  <c r="S225" i="27"/>
  <c r="E225" i="27"/>
  <c r="S224" i="27"/>
  <c r="E224" i="27"/>
  <c r="S223" i="27"/>
  <c r="E223" i="27"/>
  <c r="S222" i="27"/>
  <c r="E222" i="27"/>
  <c r="S221" i="27"/>
  <c r="E221" i="27"/>
  <c r="S220" i="27"/>
  <c r="E220" i="27"/>
  <c r="S219" i="27"/>
  <c r="E219" i="27"/>
  <c r="S218" i="27"/>
  <c r="E218" i="27"/>
  <c r="S217" i="27"/>
  <c r="E217" i="27"/>
  <c r="S216" i="27"/>
  <c r="E216" i="27"/>
  <c r="S215" i="27"/>
  <c r="E215" i="27"/>
  <c r="S214" i="27"/>
  <c r="E214" i="27"/>
  <c r="S213" i="27"/>
  <c r="E213" i="27"/>
  <c r="S212" i="27"/>
  <c r="E212" i="27"/>
  <c r="S211" i="27"/>
  <c r="E211" i="27"/>
  <c r="S210" i="27"/>
  <c r="E210" i="27"/>
  <c r="S209" i="27"/>
  <c r="E209" i="27"/>
  <c r="S208" i="27"/>
  <c r="E208" i="27"/>
  <c r="S207" i="27"/>
  <c r="E207" i="27"/>
  <c r="S206" i="27"/>
  <c r="E206" i="27"/>
  <c r="S205" i="27"/>
  <c r="E205" i="27"/>
  <c r="S204" i="27"/>
  <c r="E204" i="27"/>
  <c r="S198" i="27"/>
  <c r="E198" i="27"/>
  <c r="S197" i="27"/>
  <c r="E197" i="27"/>
  <c r="S196" i="27"/>
  <c r="E196" i="27"/>
  <c r="S195" i="27"/>
  <c r="E195" i="27"/>
  <c r="S194" i="27"/>
  <c r="E194" i="27"/>
  <c r="S193" i="27"/>
  <c r="E193" i="27"/>
  <c r="S192" i="27"/>
  <c r="E192" i="27"/>
  <c r="S191" i="27"/>
  <c r="E191" i="27"/>
  <c r="S190" i="27"/>
  <c r="E190" i="27"/>
  <c r="S189" i="27"/>
  <c r="E189" i="27"/>
  <c r="S188" i="27"/>
  <c r="E188" i="27"/>
  <c r="S187" i="27"/>
  <c r="E187" i="27"/>
  <c r="S186" i="27"/>
  <c r="E186" i="27"/>
  <c r="S185" i="27"/>
  <c r="E185" i="27"/>
  <c r="S184" i="27"/>
  <c r="E184" i="27"/>
  <c r="S183" i="27"/>
  <c r="E183" i="27"/>
  <c r="S182" i="27"/>
  <c r="E182" i="27"/>
  <c r="S181" i="27"/>
  <c r="E181" i="27"/>
  <c r="S180" i="27"/>
  <c r="E180" i="27"/>
  <c r="S179" i="27"/>
  <c r="E179" i="27"/>
  <c r="S178" i="27"/>
  <c r="E178" i="27"/>
  <c r="S177" i="27"/>
  <c r="E177" i="27"/>
  <c r="S176" i="27"/>
  <c r="E176" i="27"/>
  <c r="S175" i="27"/>
  <c r="E175" i="27"/>
  <c r="S174" i="27"/>
  <c r="E174" i="27"/>
  <c r="S173" i="27"/>
  <c r="E173" i="27"/>
  <c r="S172" i="27"/>
  <c r="E172" i="27"/>
  <c r="S171" i="27"/>
  <c r="E171" i="27"/>
  <c r="S170" i="27"/>
  <c r="E170" i="27"/>
  <c r="S169" i="27"/>
  <c r="E169" i="27"/>
  <c r="S168" i="27"/>
  <c r="E168" i="27"/>
  <c r="S167" i="27"/>
  <c r="E167" i="27"/>
  <c r="S166" i="27"/>
  <c r="E166" i="27"/>
  <c r="S165" i="27"/>
  <c r="E165" i="27"/>
  <c r="S164" i="27"/>
  <c r="E164" i="27"/>
  <c r="S163" i="27"/>
  <c r="E163" i="27"/>
  <c r="S162" i="27"/>
  <c r="E162" i="27"/>
  <c r="S161" i="27"/>
  <c r="E161" i="27"/>
  <c r="S160" i="27"/>
  <c r="E160" i="27"/>
  <c r="S159" i="27"/>
  <c r="E159" i="27"/>
  <c r="S158" i="27"/>
  <c r="E158" i="27"/>
  <c r="S157" i="27"/>
  <c r="E157" i="27"/>
  <c r="S156" i="27"/>
  <c r="E156" i="27"/>
  <c r="S155" i="27"/>
  <c r="E155" i="27"/>
  <c r="S154" i="27"/>
  <c r="E154" i="27"/>
  <c r="S148" i="27"/>
  <c r="E148" i="27"/>
  <c r="S147" i="27"/>
  <c r="E147" i="27"/>
  <c r="S146" i="27"/>
  <c r="E146" i="27"/>
  <c r="S145" i="27"/>
  <c r="E145" i="27"/>
  <c r="S144" i="27"/>
  <c r="E144" i="27"/>
  <c r="S143" i="27"/>
  <c r="E143" i="27"/>
  <c r="S142" i="27"/>
  <c r="E142" i="27"/>
  <c r="S141" i="27"/>
  <c r="E141" i="27"/>
  <c r="S140" i="27"/>
  <c r="E140" i="27"/>
  <c r="S139" i="27"/>
  <c r="E139" i="27"/>
  <c r="S138" i="27"/>
  <c r="E138" i="27"/>
  <c r="S137" i="27"/>
  <c r="E137" i="27"/>
  <c r="S136" i="27"/>
  <c r="E136" i="27"/>
  <c r="S135" i="27"/>
  <c r="E135" i="27"/>
  <c r="S134" i="27"/>
  <c r="E134" i="27"/>
  <c r="S133" i="27"/>
  <c r="E133" i="27"/>
  <c r="S132" i="27"/>
  <c r="E132" i="27"/>
  <c r="S131" i="27"/>
  <c r="E131" i="27"/>
  <c r="S130" i="27"/>
  <c r="E130" i="27"/>
  <c r="S129" i="27"/>
  <c r="E129" i="27"/>
  <c r="S128" i="27"/>
  <c r="E128" i="27"/>
  <c r="S127" i="27"/>
  <c r="E127" i="27"/>
  <c r="S126" i="27"/>
  <c r="E126" i="27"/>
  <c r="S125" i="27"/>
  <c r="E125" i="27"/>
  <c r="S124" i="27"/>
  <c r="E124" i="27"/>
  <c r="S123" i="27"/>
  <c r="E123" i="27"/>
  <c r="S122" i="27"/>
  <c r="E122" i="27"/>
  <c r="S121" i="27"/>
  <c r="E121" i="27"/>
  <c r="S120" i="27"/>
  <c r="E120" i="27"/>
  <c r="S119" i="27"/>
  <c r="E119" i="27"/>
  <c r="S118" i="27"/>
  <c r="E118" i="27"/>
  <c r="S117" i="27"/>
  <c r="E117" i="27"/>
  <c r="S116" i="27"/>
  <c r="E116" i="27"/>
  <c r="S115" i="27"/>
  <c r="E115" i="27"/>
  <c r="S114" i="27"/>
  <c r="E114" i="27"/>
  <c r="S113" i="27"/>
  <c r="E113" i="27"/>
  <c r="S112" i="27"/>
  <c r="E112" i="27"/>
  <c r="S111" i="27"/>
  <c r="E111" i="27"/>
  <c r="S110" i="27"/>
  <c r="E110" i="27"/>
  <c r="S109" i="27"/>
  <c r="E109" i="27"/>
  <c r="S108" i="27"/>
  <c r="E108" i="27"/>
  <c r="S107" i="27"/>
  <c r="E107" i="27"/>
  <c r="S106" i="27"/>
  <c r="E106" i="27"/>
  <c r="S105" i="27"/>
  <c r="E105" i="27"/>
  <c r="S104" i="27"/>
  <c r="E104" i="27"/>
  <c r="S98" i="27"/>
  <c r="E98" i="27"/>
  <c r="S97" i="27"/>
  <c r="E97" i="27"/>
  <c r="S96" i="27"/>
  <c r="E96" i="27"/>
  <c r="S95" i="27"/>
  <c r="E95" i="27"/>
  <c r="S94" i="27"/>
  <c r="E94" i="27"/>
  <c r="S93" i="27"/>
  <c r="E93" i="27"/>
  <c r="S92" i="27"/>
  <c r="E92" i="27"/>
  <c r="S91" i="27"/>
  <c r="E91" i="27"/>
  <c r="S90" i="27"/>
  <c r="E90" i="27"/>
  <c r="S89" i="27"/>
  <c r="E89" i="27"/>
  <c r="S88" i="27"/>
  <c r="E88" i="27"/>
  <c r="S87" i="27"/>
  <c r="E87" i="27"/>
  <c r="S86" i="27"/>
  <c r="E86" i="27"/>
  <c r="S85" i="27"/>
  <c r="E85" i="27"/>
  <c r="S84" i="27"/>
  <c r="E84" i="27"/>
  <c r="S83" i="27"/>
  <c r="E83" i="27"/>
  <c r="S82" i="27"/>
  <c r="E82" i="27"/>
  <c r="S81" i="27"/>
  <c r="E81" i="27"/>
  <c r="S80" i="27"/>
  <c r="E80" i="27"/>
  <c r="S79" i="27"/>
  <c r="E79" i="27"/>
  <c r="S78" i="27"/>
  <c r="E78" i="27"/>
  <c r="S77" i="27"/>
  <c r="E77" i="27"/>
  <c r="S76" i="27"/>
  <c r="E76" i="27"/>
  <c r="S75" i="27"/>
  <c r="E75" i="27"/>
  <c r="S74" i="27"/>
  <c r="E74" i="27"/>
  <c r="S73" i="27"/>
  <c r="E73" i="27"/>
  <c r="S72" i="27"/>
  <c r="E72" i="27"/>
  <c r="S71" i="27"/>
  <c r="E71" i="27"/>
  <c r="S70" i="27"/>
  <c r="E70" i="27"/>
  <c r="S69" i="27"/>
  <c r="E69" i="27"/>
  <c r="S68" i="27"/>
  <c r="E68" i="27"/>
  <c r="S67" i="27"/>
  <c r="E67" i="27"/>
  <c r="S66" i="27"/>
  <c r="E66" i="27"/>
  <c r="S65" i="27"/>
  <c r="E65" i="27"/>
  <c r="S64" i="27"/>
  <c r="E64" i="27"/>
  <c r="S63" i="27"/>
  <c r="E63" i="27"/>
  <c r="S62" i="27"/>
  <c r="E62" i="27"/>
  <c r="S61" i="27"/>
  <c r="E61" i="27"/>
  <c r="S60" i="27"/>
  <c r="E60" i="27"/>
  <c r="S59" i="27"/>
  <c r="E59" i="27"/>
  <c r="S58" i="27"/>
  <c r="E58" i="27"/>
  <c r="S57" i="27"/>
  <c r="E57" i="27"/>
  <c r="S56" i="27"/>
  <c r="E56" i="27"/>
  <c r="S55" i="27"/>
  <c r="E55" i="27"/>
  <c r="S54" i="27"/>
  <c r="E54" i="27"/>
  <c r="S48" i="27"/>
  <c r="E48" i="27"/>
  <c r="S47" i="27"/>
  <c r="E47" i="27"/>
  <c r="S46" i="27"/>
  <c r="E46" i="27"/>
  <c r="S45" i="27"/>
  <c r="E45" i="27"/>
  <c r="S44" i="27"/>
  <c r="E44" i="27"/>
  <c r="S43" i="27"/>
  <c r="E43" i="27"/>
  <c r="S42" i="27"/>
  <c r="E42" i="27"/>
  <c r="S41" i="27"/>
  <c r="E41" i="27"/>
  <c r="S40" i="27"/>
  <c r="E40" i="27"/>
  <c r="S39" i="27"/>
  <c r="E39" i="27"/>
  <c r="S38" i="27"/>
  <c r="E38" i="27"/>
  <c r="S37" i="27"/>
  <c r="E37" i="27"/>
  <c r="S36" i="27"/>
  <c r="E36" i="27"/>
  <c r="S35" i="27"/>
  <c r="E35" i="27"/>
  <c r="S34" i="27"/>
  <c r="E34" i="27"/>
  <c r="S33" i="27"/>
  <c r="E33" i="27"/>
  <c r="S32" i="27"/>
  <c r="E32" i="27"/>
  <c r="S31" i="27"/>
  <c r="E31" i="27"/>
  <c r="S30" i="27"/>
  <c r="E30" i="27"/>
  <c r="S29" i="27"/>
  <c r="E29" i="27"/>
  <c r="S28" i="27"/>
  <c r="E28" i="27"/>
  <c r="S27" i="27"/>
  <c r="E27" i="27"/>
  <c r="S26" i="27"/>
  <c r="E26" i="27"/>
  <c r="S25" i="27"/>
  <c r="E25" i="27"/>
  <c r="S24" i="27"/>
  <c r="E24" i="27"/>
  <c r="S23" i="27"/>
  <c r="E23" i="27"/>
  <c r="S22" i="27"/>
  <c r="E22" i="27"/>
  <c r="S21" i="27"/>
  <c r="E21" i="27"/>
  <c r="S20" i="27"/>
  <c r="E20" i="27"/>
  <c r="S19" i="27"/>
  <c r="E19" i="27"/>
  <c r="S18" i="27"/>
  <c r="E18" i="27"/>
  <c r="S17" i="27"/>
  <c r="E17" i="27"/>
  <c r="S16" i="27"/>
  <c r="E16" i="27"/>
  <c r="S15" i="27"/>
  <c r="E15" i="27"/>
  <c r="S14" i="27"/>
  <c r="E14" i="27"/>
  <c r="S13" i="27"/>
  <c r="E13" i="27"/>
  <c r="S12" i="27"/>
  <c r="E12" i="27"/>
  <c r="S11" i="27"/>
  <c r="E11" i="27"/>
  <c r="S10" i="27"/>
  <c r="E10" i="27"/>
  <c r="S9" i="27"/>
  <c r="E9" i="27"/>
  <c r="S8" i="27"/>
  <c r="E8" i="27"/>
  <c r="S7" i="27"/>
  <c r="E7" i="27"/>
  <c r="S6" i="27"/>
  <c r="E6" i="27"/>
  <c r="S5" i="27"/>
  <c r="E5" i="27"/>
  <c r="S4" i="27"/>
  <c r="E4" i="27"/>
  <c r="S200" i="27" l="1"/>
  <c r="E150" i="27"/>
  <c r="E350" i="27"/>
  <c r="E250" i="27"/>
  <c r="S50" i="27"/>
  <c r="E100" i="27"/>
  <c r="S100" i="27"/>
  <c r="S250" i="27"/>
  <c r="E300" i="27"/>
  <c r="S400" i="27"/>
  <c r="S150" i="27"/>
  <c r="E200" i="27"/>
  <c r="S300" i="27"/>
  <c r="S350" i="27"/>
  <c r="E400" i="27"/>
  <c r="E50" i="27"/>
  <c r="G111" i="26"/>
  <c r="Q110" i="26"/>
  <c r="C110" i="26"/>
  <c r="B110" i="26" s="1"/>
  <c r="Q109" i="26"/>
  <c r="C109" i="26"/>
  <c r="B109" i="26" s="1"/>
  <c r="Q108" i="26"/>
  <c r="C108" i="26"/>
  <c r="B108" i="26" s="1"/>
  <c r="Q107" i="26"/>
  <c r="C107" i="26"/>
  <c r="B107" i="26" s="1"/>
  <c r="Q106" i="26"/>
  <c r="C106" i="26"/>
  <c r="B106" i="26" s="1"/>
  <c r="Q105" i="26"/>
  <c r="C105" i="26"/>
  <c r="B105" i="26" s="1"/>
  <c r="Q104" i="26"/>
  <c r="C104" i="26"/>
  <c r="B104" i="26" s="1"/>
  <c r="Q103" i="26"/>
  <c r="C103" i="26"/>
  <c r="B103" i="26"/>
  <c r="Q102" i="26"/>
  <c r="C102" i="26"/>
  <c r="B102" i="26" s="1"/>
  <c r="Q101" i="26"/>
  <c r="C101" i="26"/>
  <c r="B101" i="26" s="1"/>
  <c r="Q100" i="26"/>
  <c r="C100" i="26"/>
  <c r="B100" i="26" s="1"/>
  <c r="Q99" i="26"/>
  <c r="C99" i="26"/>
  <c r="B99" i="26" s="1"/>
  <c r="Q98" i="26"/>
  <c r="C98" i="26"/>
  <c r="B98" i="26" s="1"/>
  <c r="Q97" i="26"/>
  <c r="C97" i="26"/>
  <c r="B97" i="26" s="1"/>
  <c r="Q96" i="26"/>
  <c r="C96" i="26"/>
  <c r="B96" i="26" s="1"/>
  <c r="Q95" i="26"/>
  <c r="C95" i="26"/>
  <c r="B95" i="26"/>
  <c r="Q94" i="26"/>
  <c r="C94" i="26"/>
  <c r="B94" i="26" s="1"/>
  <c r="Q93" i="26"/>
  <c r="C93" i="26"/>
  <c r="B93" i="26" s="1"/>
  <c r="Q92" i="26"/>
  <c r="C92" i="26"/>
  <c r="B92" i="26" s="1"/>
  <c r="Q91" i="26"/>
  <c r="C91" i="26"/>
  <c r="B91" i="26" s="1"/>
  <c r="Q90" i="26"/>
  <c r="C90" i="26"/>
  <c r="B90" i="26" s="1"/>
  <c r="Q89" i="26"/>
  <c r="C89" i="26"/>
  <c r="B89" i="26" s="1"/>
  <c r="Q88" i="26"/>
  <c r="C88" i="26"/>
  <c r="B88" i="26" s="1"/>
  <c r="Q87" i="26"/>
  <c r="C87" i="26"/>
  <c r="B87" i="26" s="1"/>
  <c r="Q86" i="26"/>
  <c r="C86" i="26"/>
  <c r="B86" i="26" s="1"/>
  <c r="Q85" i="26"/>
  <c r="C85" i="26"/>
  <c r="B85" i="26"/>
  <c r="Q84" i="26"/>
  <c r="C84" i="26"/>
  <c r="B84" i="26" s="1"/>
  <c r="Q83" i="26"/>
  <c r="C83" i="26"/>
  <c r="B83" i="26" s="1"/>
  <c r="Q82" i="26"/>
  <c r="C82" i="26"/>
  <c r="B82" i="26" s="1"/>
  <c r="Q81" i="26"/>
  <c r="C81" i="26"/>
  <c r="B81" i="26" s="1"/>
  <c r="Q80" i="26"/>
  <c r="C80" i="26"/>
  <c r="B80" i="26" s="1"/>
  <c r="Q79" i="26"/>
  <c r="C79" i="26"/>
  <c r="B79" i="26" s="1"/>
  <c r="Q78" i="26"/>
  <c r="C78" i="26"/>
  <c r="B78" i="26" s="1"/>
  <c r="Q77" i="26"/>
  <c r="C77" i="26"/>
  <c r="B77" i="26"/>
  <c r="Q76" i="26"/>
  <c r="C76" i="26"/>
  <c r="B76" i="26" s="1"/>
  <c r="Q75" i="26"/>
  <c r="C75" i="26"/>
  <c r="B75" i="26" s="1"/>
  <c r="Q74" i="26"/>
  <c r="C74" i="26"/>
  <c r="B74" i="26" s="1"/>
  <c r="Q73" i="26"/>
  <c r="C73" i="26"/>
  <c r="B73" i="26" s="1"/>
  <c r="Q72" i="26"/>
  <c r="C72" i="26"/>
  <c r="B72" i="26" s="1"/>
  <c r="Q71" i="26"/>
  <c r="C71" i="26"/>
  <c r="B71" i="26" s="1"/>
  <c r="Q70" i="26"/>
  <c r="C70" i="26"/>
  <c r="B70" i="26" s="1"/>
  <c r="Q69" i="26"/>
  <c r="C69" i="26"/>
  <c r="B69" i="26" s="1"/>
  <c r="Q68" i="26"/>
  <c r="C68" i="26"/>
  <c r="B68" i="26" s="1"/>
  <c r="Q67" i="26"/>
  <c r="C67" i="26"/>
  <c r="B67" i="26" s="1"/>
  <c r="Q66" i="26"/>
  <c r="C66" i="26"/>
  <c r="B66" i="26" s="1"/>
  <c r="L60" i="26"/>
  <c r="L56" i="26"/>
  <c r="J56" i="26"/>
  <c r="G56" i="26"/>
  <c r="L55" i="26"/>
  <c r="J55" i="26"/>
  <c r="G55" i="26"/>
  <c r="L54" i="26"/>
  <c r="J54" i="26"/>
  <c r="G54" i="26"/>
  <c r="L53" i="26"/>
  <c r="J53" i="26"/>
  <c r="G53" i="26"/>
  <c r="L52" i="26"/>
  <c r="J52" i="26"/>
  <c r="G52" i="26"/>
  <c r="L51" i="26"/>
  <c r="J51" i="26"/>
  <c r="G51" i="26"/>
  <c r="L50" i="26"/>
  <c r="J50" i="26"/>
  <c r="G50" i="26"/>
  <c r="L49" i="26"/>
  <c r="J49" i="26"/>
  <c r="G49" i="26"/>
  <c r="L48" i="26"/>
  <c r="J48" i="26"/>
  <c r="G48" i="26"/>
  <c r="L47" i="26"/>
  <c r="J47" i="26"/>
  <c r="G47" i="26"/>
  <c r="L46" i="26"/>
  <c r="J46" i="26"/>
  <c r="G46" i="26"/>
  <c r="L45" i="26"/>
  <c r="J45" i="26"/>
  <c r="G45" i="26"/>
  <c r="L44" i="26"/>
  <c r="J44" i="26"/>
  <c r="G44" i="26"/>
  <c r="L43" i="26"/>
  <c r="J43" i="26"/>
  <c r="G43" i="26"/>
  <c r="L42" i="26"/>
  <c r="J42" i="26"/>
  <c r="G42" i="26"/>
  <c r="L41" i="26"/>
  <c r="J41" i="26"/>
  <c r="G41" i="26"/>
  <c r="L40" i="26"/>
  <c r="J40" i="26"/>
  <c r="G40" i="26"/>
  <c r="L39" i="26"/>
  <c r="J39" i="26"/>
  <c r="G39" i="26"/>
  <c r="L38" i="26"/>
  <c r="J38" i="26"/>
  <c r="G38" i="26"/>
  <c r="L37" i="26"/>
  <c r="J37" i="26"/>
  <c r="G37" i="26"/>
  <c r="L36" i="26"/>
  <c r="J36" i="26"/>
  <c r="G36" i="26"/>
  <c r="L35" i="26"/>
  <c r="J35" i="26"/>
  <c r="G35" i="26"/>
  <c r="L34" i="26"/>
  <c r="J34" i="26"/>
  <c r="G34" i="26"/>
  <c r="L33" i="26"/>
  <c r="J33" i="26"/>
  <c r="G33" i="26"/>
  <c r="L32" i="26"/>
  <c r="J32" i="26"/>
  <c r="G32" i="26"/>
  <c r="L31" i="26"/>
  <c r="J31" i="26"/>
  <c r="G31" i="26"/>
  <c r="L30" i="26"/>
  <c r="J30" i="26"/>
  <c r="G30" i="26"/>
  <c r="L29" i="26"/>
  <c r="J29" i="26"/>
  <c r="G29" i="26"/>
  <c r="L28" i="26"/>
  <c r="J28" i="26"/>
  <c r="G28" i="26"/>
  <c r="L27" i="26"/>
  <c r="J27" i="26"/>
  <c r="G27" i="26"/>
  <c r="L26" i="26"/>
  <c r="J26" i="26"/>
  <c r="G26" i="26"/>
  <c r="L25" i="26"/>
  <c r="J25" i="26"/>
  <c r="G25" i="26"/>
  <c r="L24" i="26"/>
  <c r="J24" i="26"/>
  <c r="G24" i="26"/>
  <c r="L23" i="26"/>
  <c r="J23" i="26"/>
  <c r="G23" i="26"/>
  <c r="L22" i="26"/>
  <c r="J22" i="26"/>
  <c r="G22" i="26"/>
  <c r="L21" i="26"/>
  <c r="J21" i="26"/>
  <c r="G21" i="26"/>
  <c r="L20" i="26"/>
  <c r="J20" i="26"/>
  <c r="G20" i="26"/>
  <c r="L19" i="26"/>
  <c r="J19" i="26"/>
  <c r="G19" i="26"/>
  <c r="L18" i="26"/>
  <c r="J18" i="26"/>
  <c r="G18" i="26"/>
  <c r="L17" i="26"/>
  <c r="J17" i="26"/>
  <c r="G17" i="26"/>
  <c r="L16" i="26"/>
  <c r="J16" i="26"/>
  <c r="G16" i="26"/>
  <c r="L15" i="26"/>
  <c r="J15" i="26"/>
  <c r="G15" i="26"/>
  <c r="L14" i="26"/>
  <c r="J14" i="26"/>
  <c r="G14" i="26"/>
  <c r="L13" i="26"/>
  <c r="J13" i="26"/>
  <c r="G13" i="26"/>
  <c r="L12" i="26"/>
  <c r="J12" i="26"/>
  <c r="G12" i="26"/>
  <c r="K8" i="26"/>
  <c r="N8" i="26" s="1"/>
  <c r="G7" i="26"/>
  <c r="K6" i="26"/>
  <c r="N7" i="26" s="1"/>
  <c r="G6" i="26"/>
  <c r="K4" i="26"/>
  <c r="K62" i="26" s="1"/>
  <c r="B4" i="26"/>
  <c r="B62" i="26" s="1"/>
  <c r="L2" i="26"/>
  <c r="L1" i="26"/>
  <c r="L59" i="26" s="1"/>
  <c r="G111" i="25"/>
  <c r="Q110" i="25"/>
  <c r="C110" i="25"/>
  <c r="B110" i="25" s="1"/>
  <c r="Q109" i="25"/>
  <c r="C109" i="25"/>
  <c r="B109" i="25" s="1"/>
  <c r="Q108" i="25"/>
  <c r="C108" i="25"/>
  <c r="B108" i="25" s="1"/>
  <c r="Q107" i="25"/>
  <c r="C107" i="25"/>
  <c r="B107" i="25" s="1"/>
  <c r="Q106" i="25"/>
  <c r="C106" i="25"/>
  <c r="B106" i="25" s="1"/>
  <c r="Q105" i="25"/>
  <c r="C105" i="25"/>
  <c r="B105" i="25" s="1"/>
  <c r="Q104" i="25"/>
  <c r="C104" i="25"/>
  <c r="B104" i="25" s="1"/>
  <c r="Q103" i="25"/>
  <c r="C103" i="25"/>
  <c r="B103" i="25" s="1"/>
  <c r="Q102" i="25"/>
  <c r="C102" i="25"/>
  <c r="B102" i="25" s="1"/>
  <c r="Q101" i="25"/>
  <c r="C101" i="25"/>
  <c r="B101" i="25" s="1"/>
  <c r="Q100" i="25"/>
  <c r="C100" i="25"/>
  <c r="B100" i="25" s="1"/>
  <c r="Q99" i="25"/>
  <c r="C99" i="25"/>
  <c r="B99" i="25" s="1"/>
  <c r="Q98" i="25"/>
  <c r="C98" i="25"/>
  <c r="B98" i="25" s="1"/>
  <c r="Q97" i="25"/>
  <c r="C97" i="25"/>
  <c r="B97" i="25" s="1"/>
  <c r="Q96" i="25"/>
  <c r="C96" i="25"/>
  <c r="B96" i="25" s="1"/>
  <c r="Q95" i="25"/>
  <c r="C95" i="25"/>
  <c r="B95" i="25"/>
  <c r="Q94" i="25"/>
  <c r="C94" i="25"/>
  <c r="B94" i="25" s="1"/>
  <c r="Q93" i="25"/>
  <c r="C93" i="25"/>
  <c r="B93" i="25" s="1"/>
  <c r="Q92" i="25"/>
  <c r="C92" i="25"/>
  <c r="B92" i="25" s="1"/>
  <c r="Q91" i="25"/>
  <c r="C91" i="25"/>
  <c r="B91" i="25"/>
  <c r="Q90" i="25"/>
  <c r="C90" i="25"/>
  <c r="B90" i="25" s="1"/>
  <c r="Q89" i="25"/>
  <c r="C89" i="25"/>
  <c r="B89" i="25" s="1"/>
  <c r="Q88" i="25"/>
  <c r="C88" i="25"/>
  <c r="B88" i="25" s="1"/>
  <c r="Q87" i="25"/>
  <c r="C87" i="25"/>
  <c r="B87" i="25" s="1"/>
  <c r="Q86" i="25"/>
  <c r="C86" i="25"/>
  <c r="B86" i="25" s="1"/>
  <c r="Q85" i="25"/>
  <c r="C85" i="25"/>
  <c r="B85" i="25" s="1"/>
  <c r="Q84" i="25"/>
  <c r="C84" i="25"/>
  <c r="B84" i="25" s="1"/>
  <c r="Q83" i="25"/>
  <c r="C83" i="25"/>
  <c r="B83" i="25" s="1"/>
  <c r="Q82" i="25"/>
  <c r="C82" i="25"/>
  <c r="B82" i="25" s="1"/>
  <c r="Q81" i="25"/>
  <c r="C81" i="25"/>
  <c r="B81" i="25" s="1"/>
  <c r="Q80" i="25"/>
  <c r="C80" i="25"/>
  <c r="B80" i="25" s="1"/>
  <c r="Q79" i="25"/>
  <c r="C79" i="25"/>
  <c r="B79" i="25" s="1"/>
  <c r="Q78" i="25"/>
  <c r="C78" i="25"/>
  <c r="B78" i="25" s="1"/>
  <c r="Q77" i="25"/>
  <c r="C77" i="25"/>
  <c r="B77" i="25" s="1"/>
  <c r="Q76" i="25"/>
  <c r="C76" i="25"/>
  <c r="Q75" i="25"/>
  <c r="C75" i="25"/>
  <c r="Q74" i="25"/>
  <c r="C74" i="25"/>
  <c r="Q73" i="25"/>
  <c r="C73" i="25"/>
  <c r="Q72" i="25"/>
  <c r="C72" i="25"/>
  <c r="Q71" i="25"/>
  <c r="C71" i="25"/>
  <c r="Q70" i="25"/>
  <c r="C70" i="25"/>
  <c r="Q69" i="25"/>
  <c r="C69" i="25"/>
  <c r="Q68" i="25"/>
  <c r="C68" i="25"/>
  <c r="Q67" i="25"/>
  <c r="C67" i="25"/>
  <c r="Q66" i="25"/>
  <c r="C66" i="25"/>
  <c r="L60" i="25"/>
  <c r="L56" i="25"/>
  <c r="J56" i="25"/>
  <c r="G56" i="25"/>
  <c r="L55" i="25"/>
  <c r="J55" i="25"/>
  <c r="G55" i="25"/>
  <c r="L54" i="25"/>
  <c r="J54" i="25"/>
  <c r="G54" i="25"/>
  <c r="L53" i="25"/>
  <c r="J53" i="25"/>
  <c r="G53" i="25"/>
  <c r="L52" i="25"/>
  <c r="J52" i="25"/>
  <c r="G52" i="25"/>
  <c r="L51" i="25"/>
  <c r="J51" i="25"/>
  <c r="G51" i="25"/>
  <c r="L50" i="25"/>
  <c r="J50" i="25"/>
  <c r="G50" i="25"/>
  <c r="L49" i="25"/>
  <c r="J49" i="25"/>
  <c r="G49" i="25"/>
  <c r="L48" i="25"/>
  <c r="J48" i="25"/>
  <c r="G48" i="25"/>
  <c r="L47" i="25"/>
  <c r="J47" i="25"/>
  <c r="G47" i="25"/>
  <c r="L46" i="25"/>
  <c r="J46" i="25"/>
  <c r="G46" i="25"/>
  <c r="L45" i="25"/>
  <c r="J45" i="25"/>
  <c r="G45" i="25"/>
  <c r="L44" i="25"/>
  <c r="J44" i="25"/>
  <c r="G44" i="25"/>
  <c r="L43" i="25"/>
  <c r="J43" i="25"/>
  <c r="G43" i="25"/>
  <c r="L42" i="25"/>
  <c r="J42" i="25"/>
  <c r="G42" i="25"/>
  <c r="L41" i="25"/>
  <c r="J41" i="25"/>
  <c r="G41" i="25"/>
  <c r="L40" i="25"/>
  <c r="J40" i="25"/>
  <c r="G40" i="25"/>
  <c r="L39" i="25"/>
  <c r="J39" i="25"/>
  <c r="G39" i="25"/>
  <c r="L38" i="25"/>
  <c r="J38" i="25"/>
  <c r="G38" i="25"/>
  <c r="L37" i="25"/>
  <c r="J37" i="25"/>
  <c r="G37" i="25"/>
  <c r="L36" i="25"/>
  <c r="J36" i="25"/>
  <c r="G36" i="25"/>
  <c r="L35" i="25"/>
  <c r="J35" i="25"/>
  <c r="G35" i="25"/>
  <c r="L34" i="25"/>
  <c r="J34" i="25"/>
  <c r="G34" i="25"/>
  <c r="L33" i="25"/>
  <c r="J33" i="25"/>
  <c r="G33" i="25"/>
  <c r="L32" i="25"/>
  <c r="J32" i="25"/>
  <c r="G32" i="25"/>
  <c r="L31" i="25"/>
  <c r="J31" i="25"/>
  <c r="G31" i="25"/>
  <c r="L30" i="25"/>
  <c r="J30" i="25"/>
  <c r="G30" i="25"/>
  <c r="L29" i="25"/>
  <c r="J29" i="25"/>
  <c r="G29" i="25"/>
  <c r="L28" i="25"/>
  <c r="J28" i="25"/>
  <c r="G28" i="25"/>
  <c r="L27" i="25"/>
  <c r="J27" i="25"/>
  <c r="G27" i="25"/>
  <c r="L26" i="25"/>
  <c r="J26" i="25"/>
  <c r="G26" i="25"/>
  <c r="L25" i="25"/>
  <c r="J25" i="25"/>
  <c r="G25" i="25"/>
  <c r="L24" i="25"/>
  <c r="J24" i="25"/>
  <c r="G24" i="25"/>
  <c r="L23" i="25"/>
  <c r="J23" i="25"/>
  <c r="G23" i="25"/>
  <c r="L22" i="25"/>
  <c r="J22" i="25"/>
  <c r="G22" i="25"/>
  <c r="L21" i="25"/>
  <c r="J21" i="25"/>
  <c r="G21" i="25"/>
  <c r="L20" i="25"/>
  <c r="J20" i="25"/>
  <c r="G20" i="25"/>
  <c r="L19" i="25"/>
  <c r="J19" i="25"/>
  <c r="G19" i="25"/>
  <c r="L18" i="25"/>
  <c r="J18" i="25"/>
  <c r="G18" i="25"/>
  <c r="L17" i="25"/>
  <c r="J17" i="25"/>
  <c r="G17" i="25"/>
  <c r="L16" i="25"/>
  <c r="J16" i="25"/>
  <c r="G16" i="25"/>
  <c r="L15" i="25"/>
  <c r="J15" i="25"/>
  <c r="G15" i="25"/>
  <c r="L14" i="25"/>
  <c r="J14" i="25"/>
  <c r="G14" i="25"/>
  <c r="L13" i="25"/>
  <c r="J13" i="25"/>
  <c r="G13" i="25"/>
  <c r="L12" i="25"/>
  <c r="J12" i="25"/>
  <c r="G12" i="25"/>
  <c r="K8" i="25"/>
  <c r="N8" i="25" s="1"/>
  <c r="G7" i="25"/>
  <c r="K6" i="25"/>
  <c r="N7" i="25" s="1"/>
  <c r="G6" i="25"/>
  <c r="K4" i="25"/>
  <c r="K62" i="25" s="1"/>
  <c r="B4" i="25"/>
  <c r="B62" i="25" s="1"/>
  <c r="L2" i="25"/>
  <c r="L1" i="25"/>
  <c r="L59" i="25" s="1"/>
  <c r="G111" i="24"/>
  <c r="Q110" i="24"/>
  <c r="C110" i="24"/>
  <c r="Q109" i="24"/>
  <c r="C109" i="24"/>
  <c r="Q108" i="24"/>
  <c r="C108" i="24"/>
  <c r="Q107" i="24"/>
  <c r="C107" i="24"/>
  <c r="Q106" i="24"/>
  <c r="C106" i="24"/>
  <c r="Q105" i="24"/>
  <c r="C105" i="24"/>
  <c r="Q104" i="24"/>
  <c r="C104" i="24"/>
  <c r="Q103" i="24"/>
  <c r="C103" i="24"/>
  <c r="Q102" i="24"/>
  <c r="C102" i="24"/>
  <c r="Q101" i="24"/>
  <c r="C101" i="24"/>
  <c r="Q100" i="24"/>
  <c r="C100" i="24"/>
  <c r="Q99" i="24"/>
  <c r="C99" i="24"/>
  <c r="Q98" i="24"/>
  <c r="C98" i="24"/>
  <c r="Q97" i="24"/>
  <c r="C97" i="24"/>
  <c r="Q96" i="24"/>
  <c r="C96" i="24"/>
  <c r="Q95" i="24"/>
  <c r="C95" i="24"/>
  <c r="Q94" i="24"/>
  <c r="C94" i="24"/>
  <c r="Q93" i="24"/>
  <c r="C93" i="24"/>
  <c r="Q92" i="24"/>
  <c r="C92" i="24"/>
  <c r="Q91" i="24"/>
  <c r="C91" i="24"/>
  <c r="Q90" i="24"/>
  <c r="C90" i="24"/>
  <c r="Q89" i="24"/>
  <c r="C89" i="24"/>
  <c r="Q88" i="24"/>
  <c r="C88" i="24"/>
  <c r="Q87" i="24"/>
  <c r="C87" i="24"/>
  <c r="Q86" i="24"/>
  <c r="C86" i="24"/>
  <c r="Q85" i="24"/>
  <c r="C85" i="24"/>
  <c r="Q84" i="24"/>
  <c r="C84" i="24"/>
  <c r="Q83" i="24"/>
  <c r="C83" i="24"/>
  <c r="Q82" i="24"/>
  <c r="C82" i="24"/>
  <c r="Q81" i="24"/>
  <c r="C81" i="24"/>
  <c r="Q80" i="24"/>
  <c r="C80" i="24"/>
  <c r="Q79" i="24"/>
  <c r="C79" i="24"/>
  <c r="Q78" i="24"/>
  <c r="C78" i="24"/>
  <c r="Q77" i="24"/>
  <c r="C77" i="24"/>
  <c r="Q76" i="24"/>
  <c r="C76" i="24"/>
  <c r="Q75" i="24"/>
  <c r="C75" i="24"/>
  <c r="Q74" i="24"/>
  <c r="C74" i="24"/>
  <c r="Q73" i="24"/>
  <c r="C73" i="24"/>
  <c r="Q72" i="24"/>
  <c r="C72" i="24"/>
  <c r="Q71" i="24"/>
  <c r="C71" i="24"/>
  <c r="Q70" i="24"/>
  <c r="C70" i="24"/>
  <c r="Q69" i="24"/>
  <c r="C69" i="24"/>
  <c r="Q68" i="24"/>
  <c r="C68" i="24"/>
  <c r="Q67" i="24"/>
  <c r="C67" i="24"/>
  <c r="Q66" i="24"/>
  <c r="C66" i="24"/>
  <c r="L60" i="24"/>
  <c r="L56" i="24"/>
  <c r="J56" i="24"/>
  <c r="G56" i="24"/>
  <c r="L55" i="24"/>
  <c r="J55" i="24"/>
  <c r="G55" i="24"/>
  <c r="L54" i="24"/>
  <c r="J54" i="24"/>
  <c r="G54" i="24"/>
  <c r="L53" i="24"/>
  <c r="J53" i="24"/>
  <c r="G53" i="24"/>
  <c r="L52" i="24"/>
  <c r="J52" i="24"/>
  <c r="G52" i="24"/>
  <c r="L51" i="24"/>
  <c r="J51" i="24"/>
  <c r="G51" i="24"/>
  <c r="L50" i="24"/>
  <c r="J50" i="24"/>
  <c r="G50" i="24"/>
  <c r="L49" i="24"/>
  <c r="J49" i="24"/>
  <c r="G49" i="24"/>
  <c r="L48" i="24"/>
  <c r="J48" i="24"/>
  <c r="G48" i="24"/>
  <c r="L47" i="24"/>
  <c r="J47" i="24"/>
  <c r="G47" i="24"/>
  <c r="L46" i="24"/>
  <c r="J46" i="24"/>
  <c r="G46" i="24"/>
  <c r="L45" i="24"/>
  <c r="J45" i="24"/>
  <c r="G45" i="24"/>
  <c r="L44" i="24"/>
  <c r="J44" i="24"/>
  <c r="G44" i="24"/>
  <c r="L43" i="24"/>
  <c r="J43" i="24"/>
  <c r="G43" i="24"/>
  <c r="L42" i="24"/>
  <c r="J42" i="24"/>
  <c r="G42" i="24"/>
  <c r="L41" i="24"/>
  <c r="J41" i="24"/>
  <c r="G41" i="24"/>
  <c r="L40" i="24"/>
  <c r="J40" i="24"/>
  <c r="G40" i="24"/>
  <c r="L39" i="24"/>
  <c r="J39" i="24"/>
  <c r="G39" i="24"/>
  <c r="L38" i="24"/>
  <c r="J38" i="24"/>
  <c r="G38" i="24"/>
  <c r="L37" i="24"/>
  <c r="J37" i="24"/>
  <c r="G37" i="24"/>
  <c r="L36" i="24"/>
  <c r="J36" i="24"/>
  <c r="G36" i="24"/>
  <c r="L35" i="24"/>
  <c r="J35" i="24"/>
  <c r="G35" i="24"/>
  <c r="L34" i="24"/>
  <c r="J34" i="24"/>
  <c r="G34" i="24"/>
  <c r="L33" i="24"/>
  <c r="J33" i="24"/>
  <c r="G33" i="24"/>
  <c r="L32" i="24"/>
  <c r="J32" i="24"/>
  <c r="G32" i="24"/>
  <c r="L31" i="24"/>
  <c r="J31" i="24"/>
  <c r="G31" i="24"/>
  <c r="L30" i="24"/>
  <c r="J30" i="24"/>
  <c r="G30" i="24"/>
  <c r="L29" i="24"/>
  <c r="J29" i="24"/>
  <c r="G29" i="24"/>
  <c r="L28" i="24"/>
  <c r="J28" i="24"/>
  <c r="G28" i="24"/>
  <c r="L27" i="24"/>
  <c r="J27" i="24"/>
  <c r="G27" i="24"/>
  <c r="L26" i="24"/>
  <c r="J26" i="24"/>
  <c r="G26" i="24"/>
  <c r="L25" i="24"/>
  <c r="J25" i="24"/>
  <c r="G25" i="24"/>
  <c r="L24" i="24"/>
  <c r="J24" i="24"/>
  <c r="G24" i="24"/>
  <c r="L23" i="24"/>
  <c r="J23" i="24"/>
  <c r="G23" i="24"/>
  <c r="L22" i="24"/>
  <c r="J22" i="24"/>
  <c r="G22" i="24"/>
  <c r="L21" i="24"/>
  <c r="J21" i="24"/>
  <c r="G21" i="24"/>
  <c r="L20" i="24"/>
  <c r="J20" i="24"/>
  <c r="G20" i="24"/>
  <c r="L19" i="24"/>
  <c r="J19" i="24"/>
  <c r="G19" i="24"/>
  <c r="L18" i="24"/>
  <c r="J18" i="24"/>
  <c r="G18" i="24"/>
  <c r="L17" i="24"/>
  <c r="J17" i="24"/>
  <c r="G17" i="24"/>
  <c r="L16" i="24"/>
  <c r="J16" i="24"/>
  <c r="G16" i="24"/>
  <c r="L15" i="24"/>
  <c r="J15" i="24"/>
  <c r="G15" i="24"/>
  <c r="L14" i="24"/>
  <c r="J14" i="24"/>
  <c r="G14" i="24"/>
  <c r="L13" i="24"/>
  <c r="J13" i="24"/>
  <c r="G13" i="24"/>
  <c r="L12" i="24"/>
  <c r="J12" i="24"/>
  <c r="G12" i="24"/>
  <c r="K8" i="24"/>
  <c r="N8" i="24" s="1"/>
  <c r="G7" i="24"/>
  <c r="K6" i="24"/>
  <c r="N7" i="24" s="1"/>
  <c r="G6" i="24"/>
  <c r="K4" i="24"/>
  <c r="K62" i="24" s="1"/>
  <c r="B4" i="24"/>
  <c r="B62" i="24" s="1"/>
  <c r="L2" i="24"/>
  <c r="L1" i="24"/>
  <c r="L59" i="24" s="1"/>
  <c r="G111" i="23"/>
  <c r="Q110" i="23"/>
  <c r="C110" i="23"/>
  <c r="Q109" i="23"/>
  <c r="C109" i="23"/>
  <c r="Q108" i="23"/>
  <c r="C108" i="23"/>
  <c r="Q107" i="23"/>
  <c r="C107" i="23"/>
  <c r="Q106" i="23"/>
  <c r="C106" i="23"/>
  <c r="Q105" i="23"/>
  <c r="C105" i="23"/>
  <c r="Q104" i="23"/>
  <c r="C104" i="23"/>
  <c r="Q103" i="23"/>
  <c r="C103" i="23"/>
  <c r="Q102" i="23"/>
  <c r="C102" i="23"/>
  <c r="Q101" i="23"/>
  <c r="C101" i="23"/>
  <c r="Q100" i="23"/>
  <c r="C100" i="23"/>
  <c r="Q99" i="23"/>
  <c r="C99" i="23"/>
  <c r="Q98" i="23"/>
  <c r="C98" i="23"/>
  <c r="Q97" i="23"/>
  <c r="C97" i="23"/>
  <c r="Q96" i="23"/>
  <c r="C96" i="23"/>
  <c r="Q95" i="23"/>
  <c r="C95" i="23"/>
  <c r="Q94" i="23"/>
  <c r="C94" i="23"/>
  <c r="Q93" i="23"/>
  <c r="C93" i="23"/>
  <c r="Q92" i="23"/>
  <c r="C92" i="23"/>
  <c r="Q91" i="23"/>
  <c r="C91" i="23"/>
  <c r="Q90" i="23"/>
  <c r="C90" i="23"/>
  <c r="Q89" i="23"/>
  <c r="C89" i="23"/>
  <c r="Q88" i="23"/>
  <c r="C88" i="23"/>
  <c r="Q87" i="23"/>
  <c r="C87" i="23"/>
  <c r="Q86" i="23"/>
  <c r="C86" i="23"/>
  <c r="Q85" i="23"/>
  <c r="C85" i="23"/>
  <c r="Q84" i="23"/>
  <c r="C84" i="23"/>
  <c r="Q83" i="23"/>
  <c r="C83" i="23"/>
  <c r="Q82" i="23"/>
  <c r="C82" i="23"/>
  <c r="Q81" i="23"/>
  <c r="C81" i="23"/>
  <c r="Q80" i="23"/>
  <c r="C80" i="23"/>
  <c r="Q79" i="23"/>
  <c r="C79" i="23"/>
  <c r="Q78" i="23"/>
  <c r="C78" i="23"/>
  <c r="Q77" i="23"/>
  <c r="C77" i="23"/>
  <c r="Q76" i="23"/>
  <c r="C76" i="23"/>
  <c r="Q75" i="23"/>
  <c r="C75" i="23"/>
  <c r="Q74" i="23"/>
  <c r="C74" i="23"/>
  <c r="Q73" i="23"/>
  <c r="C73" i="23"/>
  <c r="Q72" i="23"/>
  <c r="C72" i="23"/>
  <c r="Q71" i="23"/>
  <c r="C71" i="23"/>
  <c r="Q70" i="23"/>
  <c r="C70" i="23"/>
  <c r="Q69" i="23"/>
  <c r="C69" i="23"/>
  <c r="Q68" i="23"/>
  <c r="C68" i="23"/>
  <c r="Q67" i="23"/>
  <c r="C67" i="23"/>
  <c r="Q66" i="23"/>
  <c r="C66" i="23"/>
  <c r="L60" i="23"/>
  <c r="L56" i="23"/>
  <c r="J56" i="23"/>
  <c r="G56" i="23"/>
  <c r="L55" i="23"/>
  <c r="J55" i="23"/>
  <c r="G55" i="23"/>
  <c r="L54" i="23"/>
  <c r="J54" i="23"/>
  <c r="G54" i="23"/>
  <c r="L53" i="23"/>
  <c r="J53" i="23"/>
  <c r="G53" i="23"/>
  <c r="L52" i="23"/>
  <c r="J52" i="23"/>
  <c r="G52" i="23"/>
  <c r="L51" i="23"/>
  <c r="J51" i="23"/>
  <c r="G51" i="23"/>
  <c r="L50" i="23"/>
  <c r="J50" i="23"/>
  <c r="G50" i="23"/>
  <c r="L49" i="23"/>
  <c r="J49" i="23"/>
  <c r="G49" i="23"/>
  <c r="L48" i="23"/>
  <c r="J48" i="23"/>
  <c r="G48" i="23"/>
  <c r="L47" i="23"/>
  <c r="J47" i="23"/>
  <c r="G47" i="23"/>
  <c r="L46" i="23"/>
  <c r="J46" i="23"/>
  <c r="G46" i="23"/>
  <c r="L45" i="23"/>
  <c r="J45" i="23"/>
  <c r="G45" i="23"/>
  <c r="L44" i="23"/>
  <c r="J44" i="23"/>
  <c r="G44" i="23"/>
  <c r="L43" i="23"/>
  <c r="J43" i="23"/>
  <c r="G43" i="23"/>
  <c r="L42" i="23"/>
  <c r="J42" i="23"/>
  <c r="G42" i="23"/>
  <c r="L41" i="23"/>
  <c r="J41" i="23"/>
  <c r="G41" i="23"/>
  <c r="L40" i="23"/>
  <c r="J40" i="23"/>
  <c r="G40" i="23"/>
  <c r="L39" i="23"/>
  <c r="J39" i="23"/>
  <c r="G39" i="23"/>
  <c r="L38" i="23"/>
  <c r="J38" i="23"/>
  <c r="G38" i="23"/>
  <c r="L37" i="23"/>
  <c r="J37" i="23"/>
  <c r="G37" i="23"/>
  <c r="L36" i="23"/>
  <c r="J36" i="23"/>
  <c r="G36" i="23"/>
  <c r="L35" i="23"/>
  <c r="J35" i="23"/>
  <c r="G35" i="23"/>
  <c r="L34" i="23"/>
  <c r="J34" i="23"/>
  <c r="G34" i="23"/>
  <c r="L33" i="23"/>
  <c r="J33" i="23"/>
  <c r="G33" i="23"/>
  <c r="L32" i="23"/>
  <c r="J32" i="23"/>
  <c r="G32" i="23"/>
  <c r="L31" i="23"/>
  <c r="J31" i="23"/>
  <c r="G31" i="23"/>
  <c r="L30" i="23"/>
  <c r="J30" i="23"/>
  <c r="G30" i="23"/>
  <c r="L29" i="23"/>
  <c r="J29" i="23"/>
  <c r="G29" i="23"/>
  <c r="L28" i="23"/>
  <c r="J28" i="23"/>
  <c r="G28" i="23"/>
  <c r="L27" i="23"/>
  <c r="J27" i="23"/>
  <c r="G27" i="23"/>
  <c r="L26" i="23"/>
  <c r="J26" i="23"/>
  <c r="G26" i="23"/>
  <c r="L25" i="23"/>
  <c r="J25" i="23"/>
  <c r="G25" i="23"/>
  <c r="L24" i="23"/>
  <c r="J24" i="23"/>
  <c r="G24" i="23"/>
  <c r="L23" i="23"/>
  <c r="J23" i="23"/>
  <c r="G23" i="23"/>
  <c r="L22" i="23"/>
  <c r="J22" i="23"/>
  <c r="G22" i="23"/>
  <c r="L21" i="23"/>
  <c r="J21" i="23"/>
  <c r="G21" i="23"/>
  <c r="L20" i="23"/>
  <c r="J20" i="23"/>
  <c r="G20" i="23"/>
  <c r="L19" i="23"/>
  <c r="J19" i="23"/>
  <c r="G19" i="23"/>
  <c r="L18" i="23"/>
  <c r="J18" i="23"/>
  <c r="G18" i="23"/>
  <c r="L17" i="23"/>
  <c r="J17" i="23"/>
  <c r="G17" i="23"/>
  <c r="L16" i="23"/>
  <c r="J16" i="23"/>
  <c r="G16" i="23"/>
  <c r="L15" i="23"/>
  <c r="J15" i="23"/>
  <c r="G15" i="23"/>
  <c r="L14" i="23"/>
  <c r="J14" i="23"/>
  <c r="G14" i="23"/>
  <c r="L13" i="23"/>
  <c r="J13" i="23"/>
  <c r="G13" i="23"/>
  <c r="L12" i="23"/>
  <c r="J12" i="23"/>
  <c r="G12" i="23"/>
  <c r="K8" i="23"/>
  <c r="N8" i="23" s="1"/>
  <c r="G7" i="23"/>
  <c r="K6" i="23"/>
  <c r="N7" i="23" s="1"/>
  <c r="G6" i="23"/>
  <c r="K4" i="23"/>
  <c r="K62" i="23" s="1"/>
  <c r="B4" i="23"/>
  <c r="B62" i="23" s="1"/>
  <c r="L2" i="23"/>
  <c r="L1" i="23"/>
  <c r="L59" i="23" s="1"/>
  <c r="G111" i="21"/>
  <c r="Q110" i="21"/>
  <c r="C110" i="21"/>
  <c r="Q109" i="21"/>
  <c r="C109" i="21"/>
  <c r="Q108" i="21"/>
  <c r="C108" i="21"/>
  <c r="Q107" i="21"/>
  <c r="C107" i="21"/>
  <c r="Q106" i="21"/>
  <c r="C106" i="21"/>
  <c r="Q105" i="21"/>
  <c r="C105" i="21"/>
  <c r="Q104" i="21"/>
  <c r="C104" i="21"/>
  <c r="Q103" i="21"/>
  <c r="C103" i="21"/>
  <c r="Q102" i="21"/>
  <c r="C102" i="21"/>
  <c r="Q101" i="21"/>
  <c r="C101" i="21"/>
  <c r="Q100" i="21"/>
  <c r="C100" i="21"/>
  <c r="Q99" i="21"/>
  <c r="C99" i="21"/>
  <c r="Q98" i="21"/>
  <c r="C98" i="21"/>
  <c r="Q97" i="21"/>
  <c r="C97" i="21"/>
  <c r="Q96" i="21"/>
  <c r="C96" i="21"/>
  <c r="Q95" i="21"/>
  <c r="C95" i="21"/>
  <c r="Q94" i="21"/>
  <c r="C94" i="21"/>
  <c r="Q93" i="21"/>
  <c r="C93" i="21"/>
  <c r="Q92" i="21"/>
  <c r="C92" i="21"/>
  <c r="Q91" i="21"/>
  <c r="C91" i="21"/>
  <c r="Q90" i="21"/>
  <c r="C90" i="21"/>
  <c r="Q89" i="21"/>
  <c r="C89" i="21"/>
  <c r="Q88" i="21"/>
  <c r="C88" i="21"/>
  <c r="Q87" i="21"/>
  <c r="C87" i="21"/>
  <c r="Q86" i="21"/>
  <c r="C86" i="21"/>
  <c r="Q85" i="21"/>
  <c r="C85" i="21"/>
  <c r="Q84" i="21"/>
  <c r="C84" i="21"/>
  <c r="Q83" i="21"/>
  <c r="C83" i="21"/>
  <c r="Q82" i="21"/>
  <c r="C82" i="21"/>
  <c r="Q81" i="21"/>
  <c r="C81" i="21"/>
  <c r="Q80" i="21"/>
  <c r="C80" i="21"/>
  <c r="Q79" i="21"/>
  <c r="C79" i="21"/>
  <c r="Q78" i="21"/>
  <c r="C78" i="21"/>
  <c r="Q77" i="21"/>
  <c r="C77" i="21"/>
  <c r="Q76" i="21"/>
  <c r="C76" i="21"/>
  <c r="Q75" i="21"/>
  <c r="C75" i="21"/>
  <c r="Q74" i="21"/>
  <c r="C74" i="21"/>
  <c r="Q73" i="21"/>
  <c r="C73" i="21"/>
  <c r="Q72" i="21"/>
  <c r="C72" i="21"/>
  <c r="Q71" i="21"/>
  <c r="C71" i="21"/>
  <c r="Q70" i="21"/>
  <c r="C70" i="21"/>
  <c r="Q69" i="21"/>
  <c r="C69" i="21"/>
  <c r="Q68" i="21"/>
  <c r="C68" i="21"/>
  <c r="Q67" i="21"/>
  <c r="C67" i="21"/>
  <c r="Q66" i="21"/>
  <c r="C66" i="21"/>
  <c r="L60" i="21"/>
  <c r="L56" i="21"/>
  <c r="J56" i="21"/>
  <c r="G56" i="21"/>
  <c r="L55" i="21"/>
  <c r="J55" i="21"/>
  <c r="G55" i="21"/>
  <c r="L54" i="21"/>
  <c r="J54" i="21"/>
  <c r="G54" i="21"/>
  <c r="L53" i="21"/>
  <c r="J53" i="21"/>
  <c r="G53" i="21"/>
  <c r="L52" i="21"/>
  <c r="J52" i="21"/>
  <c r="G52" i="21"/>
  <c r="L51" i="21"/>
  <c r="J51" i="21"/>
  <c r="G51" i="21"/>
  <c r="L50" i="21"/>
  <c r="J50" i="21"/>
  <c r="G50" i="21"/>
  <c r="L49" i="21"/>
  <c r="J49" i="21"/>
  <c r="G49" i="21"/>
  <c r="L48" i="21"/>
  <c r="J48" i="21"/>
  <c r="G48" i="21"/>
  <c r="L47" i="21"/>
  <c r="J47" i="21"/>
  <c r="G47" i="21"/>
  <c r="L46" i="21"/>
  <c r="J46" i="21"/>
  <c r="G46" i="21"/>
  <c r="L45" i="21"/>
  <c r="J45" i="21"/>
  <c r="G45" i="21"/>
  <c r="L44" i="21"/>
  <c r="J44" i="21"/>
  <c r="G44" i="21"/>
  <c r="L43" i="21"/>
  <c r="J43" i="21"/>
  <c r="G43" i="21"/>
  <c r="L42" i="21"/>
  <c r="J42" i="21"/>
  <c r="G42" i="21"/>
  <c r="L41" i="21"/>
  <c r="J41" i="21"/>
  <c r="G41" i="21"/>
  <c r="L40" i="21"/>
  <c r="J40" i="21"/>
  <c r="G40" i="21"/>
  <c r="L39" i="21"/>
  <c r="J39" i="21"/>
  <c r="G39" i="21"/>
  <c r="L38" i="21"/>
  <c r="J38" i="21"/>
  <c r="G38" i="21"/>
  <c r="L37" i="21"/>
  <c r="J37" i="21"/>
  <c r="G37" i="21"/>
  <c r="L36" i="21"/>
  <c r="J36" i="21"/>
  <c r="G36" i="21"/>
  <c r="L35" i="21"/>
  <c r="J35" i="21"/>
  <c r="G35" i="21"/>
  <c r="L34" i="21"/>
  <c r="J34" i="21"/>
  <c r="G34" i="21"/>
  <c r="L33" i="21"/>
  <c r="J33" i="21"/>
  <c r="G33" i="21"/>
  <c r="L32" i="21"/>
  <c r="J32" i="21"/>
  <c r="G32" i="21"/>
  <c r="L31" i="21"/>
  <c r="J31" i="21"/>
  <c r="G31" i="21"/>
  <c r="L30" i="21"/>
  <c r="J30" i="21"/>
  <c r="G30" i="21"/>
  <c r="L29" i="21"/>
  <c r="J29" i="21"/>
  <c r="G29" i="21"/>
  <c r="L28" i="21"/>
  <c r="J28" i="21"/>
  <c r="G28" i="21"/>
  <c r="L27" i="21"/>
  <c r="J27" i="21"/>
  <c r="G27" i="21"/>
  <c r="L26" i="21"/>
  <c r="J26" i="21"/>
  <c r="G26" i="21"/>
  <c r="L25" i="21"/>
  <c r="J25" i="21"/>
  <c r="G25" i="21"/>
  <c r="L24" i="21"/>
  <c r="J24" i="21"/>
  <c r="G24" i="21"/>
  <c r="L23" i="21"/>
  <c r="J23" i="21"/>
  <c r="G23" i="21"/>
  <c r="L22" i="21"/>
  <c r="J22" i="21"/>
  <c r="G22" i="21"/>
  <c r="L21" i="21"/>
  <c r="J21" i="21"/>
  <c r="G21" i="21"/>
  <c r="L20" i="21"/>
  <c r="J20" i="21"/>
  <c r="G20" i="21"/>
  <c r="L19" i="21"/>
  <c r="J19" i="21"/>
  <c r="G19" i="21"/>
  <c r="L18" i="21"/>
  <c r="J18" i="21"/>
  <c r="G18" i="21"/>
  <c r="L17" i="21"/>
  <c r="J17" i="21"/>
  <c r="G17" i="21"/>
  <c r="L16" i="21"/>
  <c r="J16" i="21"/>
  <c r="G16" i="21"/>
  <c r="L15" i="21"/>
  <c r="J15" i="21"/>
  <c r="G15" i="21"/>
  <c r="L14" i="21"/>
  <c r="J14" i="21"/>
  <c r="G14" i="21"/>
  <c r="L13" i="21"/>
  <c r="J13" i="21"/>
  <c r="G13" i="21"/>
  <c r="L12" i="21"/>
  <c r="J12" i="21"/>
  <c r="G12" i="21"/>
  <c r="K8" i="21"/>
  <c r="N8" i="21" s="1"/>
  <c r="G7" i="21"/>
  <c r="K6" i="21"/>
  <c r="N7" i="21" s="1"/>
  <c r="G6" i="21"/>
  <c r="K4" i="21"/>
  <c r="K62" i="21" s="1"/>
  <c r="B4" i="21"/>
  <c r="B62" i="21" s="1"/>
  <c r="L2" i="21"/>
  <c r="L1" i="21"/>
  <c r="L59" i="21" s="1"/>
  <c r="G8" i="26" l="1"/>
  <c r="G8" i="25"/>
  <c r="G8" i="24"/>
  <c r="H53" i="24" s="1"/>
  <c r="G8" i="21"/>
  <c r="H45" i="21" s="1"/>
  <c r="Q111" i="26"/>
  <c r="Q111" i="25"/>
  <c r="Q111" i="24"/>
  <c r="Q111" i="21"/>
  <c r="G8" i="23"/>
  <c r="H51" i="23" s="1"/>
  <c r="H16" i="24"/>
  <c r="H54" i="24"/>
  <c r="H32" i="24"/>
  <c r="H53" i="26"/>
  <c r="H47" i="26"/>
  <c r="H41" i="26"/>
  <c r="H37" i="26"/>
  <c r="H33" i="26"/>
  <c r="H29" i="26"/>
  <c r="H21" i="26"/>
  <c r="H15" i="26"/>
  <c r="H54" i="26"/>
  <c r="H46" i="26"/>
  <c r="H38" i="26"/>
  <c r="H30" i="26"/>
  <c r="H22" i="26"/>
  <c r="H14" i="26"/>
  <c r="H12" i="26"/>
  <c r="H23" i="26"/>
  <c r="H56" i="26"/>
  <c r="H50" i="26"/>
  <c r="H40" i="26"/>
  <c r="H28" i="26"/>
  <c r="H18" i="26"/>
  <c r="H55" i="26"/>
  <c r="H51" i="26"/>
  <c r="H49" i="26"/>
  <c r="H43" i="26"/>
  <c r="H39" i="26"/>
  <c r="H31" i="26"/>
  <c r="H25" i="26"/>
  <c r="H17" i="26"/>
  <c r="H48" i="26"/>
  <c r="H24" i="26"/>
  <c r="H45" i="26"/>
  <c r="H35" i="26"/>
  <c r="H27" i="26"/>
  <c r="H19" i="26"/>
  <c r="H13" i="26"/>
  <c r="H52" i="26"/>
  <c r="H44" i="26"/>
  <c r="H36" i="26"/>
  <c r="H32" i="26"/>
  <c r="H26" i="26"/>
  <c r="H20" i="26"/>
  <c r="H42" i="26"/>
  <c r="H16" i="26"/>
  <c r="N6" i="26"/>
  <c r="N9" i="26" s="1"/>
  <c r="H34" i="26"/>
  <c r="H15" i="25"/>
  <c r="H53" i="25"/>
  <c r="H47" i="25"/>
  <c r="H41" i="25"/>
  <c r="H35" i="25"/>
  <c r="H29" i="25"/>
  <c r="H23" i="25"/>
  <c r="H17" i="25"/>
  <c r="H55" i="25"/>
  <c r="H49" i="25"/>
  <c r="H43" i="25"/>
  <c r="H37" i="25"/>
  <c r="H31" i="25"/>
  <c r="H25" i="25"/>
  <c r="H19" i="25"/>
  <c r="H51" i="25"/>
  <c r="H45" i="25"/>
  <c r="H39" i="25"/>
  <c r="H33" i="25"/>
  <c r="H27" i="25"/>
  <c r="H21" i="25"/>
  <c r="H13" i="25"/>
  <c r="N6" i="25"/>
  <c r="N9" i="25" s="1"/>
  <c r="H54" i="25"/>
  <c r="H50" i="25"/>
  <c r="H46" i="25"/>
  <c r="H42" i="25"/>
  <c r="H38" i="25"/>
  <c r="H36" i="25"/>
  <c r="H32" i="25"/>
  <c r="H30" i="25"/>
  <c r="H26" i="25"/>
  <c r="H24" i="25"/>
  <c r="H22" i="25"/>
  <c r="H18" i="25"/>
  <c r="H16" i="25"/>
  <c r="H14" i="25"/>
  <c r="H12" i="25"/>
  <c r="H56" i="25"/>
  <c r="H52" i="25"/>
  <c r="H48" i="25"/>
  <c r="H44" i="25"/>
  <c r="H40" i="25"/>
  <c r="H34" i="25"/>
  <c r="H28" i="25"/>
  <c r="H20" i="25"/>
  <c r="H15" i="24"/>
  <c r="H21" i="24"/>
  <c r="H19" i="24"/>
  <c r="H25" i="24"/>
  <c r="H13" i="24"/>
  <c r="H17" i="24"/>
  <c r="H31" i="24"/>
  <c r="H33" i="24"/>
  <c r="H43" i="24"/>
  <c r="H45" i="24"/>
  <c r="H51" i="24"/>
  <c r="H15" i="23"/>
  <c r="Q111" i="23"/>
  <c r="H22" i="21"/>
  <c r="H55" i="21"/>
  <c r="H19" i="21"/>
  <c r="H51" i="21"/>
  <c r="H27" i="21"/>
  <c r="H44" i="21"/>
  <c r="H12" i="23" l="1"/>
  <c r="H28" i="23"/>
  <c r="H37" i="23"/>
  <c r="H15" i="21"/>
  <c r="N6" i="21"/>
  <c r="N9" i="21" s="1"/>
  <c r="H40" i="21"/>
  <c r="H48" i="21"/>
  <c r="H47" i="21"/>
  <c r="H44" i="24"/>
  <c r="H33" i="21"/>
  <c r="H16" i="21"/>
  <c r="H53" i="21"/>
  <c r="H12" i="21"/>
  <c r="H30" i="21"/>
  <c r="H25" i="21"/>
  <c r="H30" i="24"/>
  <c r="H48" i="24"/>
  <c r="H14" i="21"/>
  <c r="H42" i="21"/>
  <c r="H39" i="21"/>
  <c r="H39" i="24"/>
  <c r="H27" i="24"/>
  <c r="H41" i="24"/>
  <c r="H26" i="24"/>
  <c r="H12" i="24"/>
  <c r="N6" i="24"/>
  <c r="N9" i="24" s="1"/>
  <c r="H13" i="21"/>
  <c r="H26" i="21"/>
  <c r="H23" i="21"/>
  <c r="H29" i="21"/>
  <c r="H46" i="21"/>
  <c r="H17" i="21"/>
  <c r="H37" i="21"/>
  <c r="H28" i="21"/>
  <c r="H31" i="21"/>
  <c r="H32" i="21"/>
  <c r="H18" i="21"/>
  <c r="H34" i="21"/>
  <c r="H50" i="21"/>
  <c r="H35" i="21"/>
  <c r="H49" i="24"/>
  <c r="H55" i="24"/>
  <c r="H24" i="21"/>
  <c r="H21" i="21"/>
  <c r="H43" i="21"/>
  <c r="H54" i="21"/>
  <c r="H36" i="21"/>
  <c r="H41" i="21"/>
  <c r="H52" i="21"/>
  <c r="H49" i="21"/>
  <c r="H20" i="21"/>
  <c r="H38" i="21"/>
  <c r="H56" i="21"/>
  <c r="H47" i="24"/>
  <c r="H37" i="24"/>
  <c r="H23" i="24"/>
  <c r="H35" i="24"/>
  <c r="H29" i="24"/>
  <c r="H56" i="24"/>
  <c r="H20" i="24"/>
  <c r="H42" i="24"/>
  <c r="H24" i="24"/>
  <c r="H28" i="24"/>
  <c r="H52" i="24"/>
  <c r="H17" i="23"/>
  <c r="H53" i="23"/>
  <c r="H40" i="24"/>
  <c r="H20" i="23"/>
  <c r="H36" i="23"/>
  <c r="H44" i="23"/>
  <c r="H52" i="23"/>
  <c r="H19" i="23"/>
  <c r="H39" i="23"/>
  <c r="H50" i="24"/>
  <c r="H34" i="24"/>
  <c r="H14" i="23"/>
  <c r="H22" i="23"/>
  <c r="H30" i="23"/>
  <c r="H38" i="23"/>
  <c r="H46" i="23"/>
  <c r="H54" i="23"/>
  <c r="H25" i="23"/>
  <c r="H45" i="23"/>
  <c r="H21" i="23"/>
  <c r="H23" i="23"/>
  <c r="H43" i="23"/>
  <c r="H16" i="23"/>
  <c r="H24" i="23"/>
  <c r="H32" i="23"/>
  <c r="H40" i="23"/>
  <c r="H48" i="23"/>
  <c r="H56" i="23"/>
  <c r="H31" i="23"/>
  <c r="H49" i="23"/>
  <c r="H27" i="23"/>
  <c r="H29" i="23"/>
  <c r="H47" i="23"/>
  <c r="N6" i="23"/>
  <c r="N9" i="23" s="1"/>
  <c r="H18" i="23"/>
  <c r="H26" i="23"/>
  <c r="H34" i="23"/>
  <c r="H42" i="23"/>
  <c r="H50" i="23"/>
  <c r="H13" i="23"/>
  <c r="H35" i="23"/>
  <c r="H55" i="23"/>
  <c r="H41" i="23"/>
  <c r="H33" i="23"/>
  <c r="H18" i="24"/>
  <c r="H38" i="24"/>
  <c r="H14" i="24"/>
  <c r="H36" i="24"/>
  <c r="H46" i="24"/>
  <c r="H22" i="24"/>
  <c r="H13" i="20" l="1"/>
  <c r="D13" i="20"/>
  <c r="E13" i="20"/>
  <c r="F13" i="20"/>
  <c r="G13" i="20"/>
  <c r="C13" i="20"/>
  <c r="L21" i="9"/>
  <c r="L17" i="9"/>
  <c r="L31" i="9" l="1"/>
  <c r="I17" i="9"/>
  <c r="G17" i="9"/>
  <c r="F17" i="9"/>
  <c r="E17" i="9"/>
  <c r="D17" i="9"/>
  <c r="H12" i="20"/>
  <c r="G12" i="20"/>
  <c r="F12" i="20"/>
  <c r="E12" i="20"/>
  <c r="D12" i="20"/>
  <c r="C12" i="20"/>
  <c r="H11" i="20"/>
  <c r="G11" i="20"/>
  <c r="F11" i="20"/>
  <c r="E11" i="20"/>
  <c r="D11" i="20"/>
  <c r="C11" i="20"/>
  <c r="H10" i="20"/>
  <c r="G10" i="20"/>
  <c r="F10" i="20"/>
  <c r="E10" i="20"/>
  <c r="D10" i="20"/>
  <c r="C10" i="20"/>
  <c r="H9" i="20"/>
  <c r="G9" i="20"/>
  <c r="F9" i="20"/>
  <c r="E9" i="20"/>
  <c r="D9" i="20"/>
  <c r="C9" i="20"/>
  <c r="H8" i="20"/>
  <c r="G8" i="20"/>
  <c r="F8" i="20"/>
  <c r="E8" i="20"/>
  <c r="D8" i="20"/>
  <c r="C8" i="20"/>
  <c r="L60" i="18"/>
  <c r="L60" i="17"/>
  <c r="O40" i="16" l="1"/>
  <c r="S274" i="3"/>
  <c r="S275" i="3"/>
  <c r="S276" i="3"/>
  <c r="S277" i="3"/>
  <c r="S273" i="3"/>
  <c r="S279" i="3" s="1"/>
  <c r="H107" i="2" l="1"/>
  <c r="G107" i="2"/>
  <c r="F107" i="2"/>
  <c r="E107" i="2"/>
  <c r="D107" i="2"/>
  <c r="L13" i="11"/>
  <c r="L14" i="11"/>
  <c r="L15" i="11"/>
  <c r="L16" i="11"/>
  <c r="L17" i="11"/>
  <c r="L18" i="11"/>
  <c r="L19" i="11"/>
  <c r="L20" i="11"/>
  <c r="L21" i="11"/>
  <c r="L22" i="11"/>
  <c r="L23" i="11"/>
  <c r="L24" i="11"/>
  <c r="L25" i="11"/>
  <c r="L26" i="11"/>
  <c r="L27" i="11"/>
  <c r="L28" i="11"/>
  <c r="L29" i="11"/>
  <c r="L30" i="11"/>
  <c r="L31" i="11"/>
  <c r="L32" i="11"/>
  <c r="L33" i="11"/>
  <c r="L34" i="11"/>
  <c r="L35" i="11"/>
  <c r="L36" i="11"/>
  <c r="L37" i="11"/>
  <c r="L38" i="11"/>
  <c r="L39" i="11"/>
  <c r="L40" i="11"/>
  <c r="L41" i="11"/>
  <c r="L42" i="11"/>
  <c r="L43" i="11"/>
  <c r="L44" i="11"/>
  <c r="L45" i="11"/>
  <c r="L46" i="11"/>
  <c r="L47" i="11"/>
  <c r="L48" i="11"/>
  <c r="L49" i="11"/>
  <c r="L50" i="11"/>
  <c r="L51" i="11"/>
  <c r="L52" i="11"/>
  <c r="L53" i="11"/>
  <c r="L54" i="11"/>
  <c r="L55" i="11"/>
  <c r="L56" i="11"/>
  <c r="Q67" i="17"/>
  <c r="Q68" i="17"/>
  <c r="Q69" i="17"/>
  <c r="Q70" i="17"/>
  <c r="Q71" i="17"/>
  <c r="Q72" i="17"/>
  <c r="Q73" i="17"/>
  <c r="Q74" i="17"/>
  <c r="Q75" i="17"/>
  <c r="Q76" i="17"/>
  <c r="Q77" i="17"/>
  <c r="Q78" i="17"/>
  <c r="Q79" i="17"/>
  <c r="Q80" i="17"/>
  <c r="Q81" i="17"/>
  <c r="Q82" i="17"/>
  <c r="Q83" i="17"/>
  <c r="Q84" i="17"/>
  <c r="Q85" i="17"/>
  <c r="Q86" i="17"/>
  <c r="Q87" i="17"/>
  <c r="Q88" i="17"/>
  <c r="Q89" i="17"/>
  <c r="Q90" i="17"/>
  <c r="Q91" i="17"/>
  <c r="Q92" i="17"/>
  <c r="Q93" i="17"/>
  <c r="Q94" i="17"/>
  <c r="Q95" i="17"/>
  <c r="Q96" i="17"/>
  <c r="Q97" i="17"/>
  <c r="Q98" i="17"/>
  <c r="Q99" i="17"/>
  <c r="Q100" i="17"/>
  <c r="Q101" i="17"/>
  <c r="Q102" i="17"/>
  <c r="Q103" i="17"/>
  <c r="Q104" i="17"/>
  <c r="Q105" i="17"/>
  <c r="Q106" i="17"/>
  <c r="Q107" i="17"/>
  <c r="Q108" i="17"/>
  <c r="Q109" i="17"/>
  <c r="Q110" i="17"/>
  <c r="Q66" i="17"/>
  <c r="Q67" i="11"/>
  <c r="Q68" i="11"/>
  <c r="Q69" i="11"/>
  <c r="Q70" i="11"/>
  <c r="Q71" i="11"/>
  <c r="Q72" i="11"/>
  <c r="Q73" i="11"/>
  <c r="Q74" i="11"/>
  <c r="Q75" i="11"/>
  <c r="Q76" i="11"/>
  <c r="Q77" i="11"/>
  <c r="Q78" i="11"/>
  <c r="Q79" i="11"/>
  <c r="Q80" i="11"/>
  <c r="Q81" i="11"/>
  <c r="Q82" i="11"/>
  <c r="Q83" i="11"/>
  <c r="Q84" i="11"/>
  <c r="Q85" i="11"/>
  <c r="Q86" i="11"/>
  <c r="Q87" i="11"/>
  <c r="Q88" i="11"/>
  <c r="Q89" i="11"/>
  <c r="Q90" i="11"/>
  <c r="Q91" i="11"/>
  <c r="Q92" i="11"/>
  <c r="Q93" i="11"/>
  <c r="Q94" i="11"/>
  <c r="Q95" i="11"/>
  <c r="Q96" i="11"/>
  <c r="Q97" i="11"/>
  <c r="Q98" i="11"/>
  <c r="Q99" i="11"/>
  <c r="Q100" i="11"/>
  <c r="Q101" i="11"/>
  <c r="Q102" i="11"/>
  <c r="Q103" i="11"/>
  <c r="Q104" i="11"/>
  <c r="Q105" i="11"/>
  <c r="Q106" i="11"/>
  <c r="Q107" i="11"/>
  <c r="Q108" i="11"/>
  <c r="Q109" i="11"/>
  <c r="Q110" i="11"/>
  <c r="Q66" i="11"/>
  <c r="Q103" i="18"/>
  <c r="Q104" i="18"/>
  <c r="Q105" i="18"/>
  <c r="Q106" i="18"/>
  <c r="Q107" i="18"/>
  <c r="Q108" i="18"/>
  <c r="Q109" i="18"/>
  <c r="Q110" i="18"/>
  <c r="Q67" i="18"/>
  <c r="Q68" i="18"/>
  <c r="Q69" i="18"/>
  <c r="Q70" i="18"/>
  <c r="Q71" i="18"/>
  <c r="Q72" i="18"/>
  <c r="Q73" i="18"/>
  <c r="Q74" i="18"/>
  <c r="Q75" i="18"/>
  <c r="Q76" i="18"/>
  <c r="Q77" i="18"/>
  <c r="Q78" i="18"/>
  <c r="Q79" i="18"/>
  <c r="Q80" i="18"/>
  <c r="Q81" i="18"/>
  <c r="Q82" i="18"/>
  <c r="Q83" i="18"/>
  <c r="Q84" i="18"/>
  <c r="Q85" i="18"/>
  <c r="Q86" i="18"/>
  <c r="Q87" i="18"/>
  <c r="Q88" i="18"/>
  <c r="Q89" i="18"/>
  <c r="Q90" i="18"/>
  <c r="Q91" i="18"/>
  <c r="Q92" i="18"/>
  <c r="Q93" i="18"/>
  <c r="Q94" i="18"/>
  <c r="Q95" i="18"/>
  <c r="Q96" i="18"/>
  <c r="Q97" i="18"/>
  <c r="Q98" i="18"/>
  <c r="Q99" i="18"/>
  <c r="Q100" i="18"/>
  <c r="Q101" i="18"/>
  <c r="Q102" i="18"/>
  <c r="Q66" i="18"/>
  <c r="L108" i="2" l="1"/>
  <c r="Q111" i="18"/>
  <c r="Q111" i="17"/>
  <c r="Q111" i="11"/>
  <c r="L41" i="16"/>
  <c r="B105" i="2"/>
  <c r="O41" i="16"/>
  <c r="N189" i="16"/>
  <c r="H22" i="28" l="1"/>
  <c r="H18" i="28"/>
  <c r="H19" i="28"/>
  <c r="H21" i="28"/>
  <c r="H20" i="28"/>
  <c r="H395" i="27"/>
  <c r="H391" i="27"/>
  <c r="H387" i="27"/>
  <c r="H383" i="27"/>
  <c r="H379" i="27"/>
  <c r="H375" i="27"/>
  <c r="H371" i="27"/>
  <c r="H367" i="27"/>
  <c r="H363" i="27"/>
  <c r="H359" i="27"/>
  <c r="H355" i="27"/>
  <c r="H346" i="27"/>
  <c r="H342" i="27"/>
  <c r="H338" i="27"/>
  <c r="H334" i="27"/>
  <c r="H330" i="27"/>
  <c r="H326" i="27"/>
  <c r="H322" i="27"/>
  <c r="H318" i="27"/>
  <c r="H314" i="27"/>
  <c r="H310" i="27"/>
  <c r="H306" i="27"/>
  <c r="H297" i="27"/>
  <c r="H293" i="27"/>
  <c r="H289" i="27"/>
  <c r="H285" i="27"/>
  <c r="H281" i="27"/>
  <c r="H277" i="27"/>
  <c r="H273" i="27"/>
  <c r="H269" i="27"/>
  <c r="H265" i="27"/>
  <c r="H261" i="27"/>
  <c r="H257" i="27"/>
  <c r="H248" i="27"/>
  <c r="H244" i="27"/>
  <c r="H240" i="27"/>
  <c r="H236" i="27"/>
  <c r="H232" i="27"/>
  <c r="H228" i="27"/>
  <c r="H224" i="27"/>
  <c r="H220" i="27"/>
  <c r="H216" i="27"/>
  <c r="H212" i="27"/>
  <c r="H208" i="27"/>
  <c r="H204" i="27"/>
  <c r="H195" i="27"/>
  <c r="H191" i="27"/>
  <c r="H187" i="27"/>
  <c r="H183" i="27"/>
  <c r="H179" i="27"/>
  <c r="H175" i="27"/>
  <c r="H171" i="27"/>
  <c r="H167" i="27"/>
  <c r="H163" i="27"/>
  <c r="H159" i="27"/>
  <c r="H155" i="27"/>
  <c r="H146" i="27"/>
  <c r="H142" i="27"/>
  <c r="H138" i="27"/>
  <c r="H134" i="27"/>
  <c r="H130" i="27"/>
  <c r="H126" i="27"/>
  <c r="H122" i="27"/>
  <c r="H118" i="27"/>
  <c r="H114" i="27"/>
  <c r="H110" i="27"/>
  <c r="H106" i="27"/>
  <c r="H97" i="27"/>
  <c r="H93" i="27"/>
  <c r="H89" i="27"/>
  <c r="H85" i="27"/>
  <c r="H81" i="27"/>
  <c r="H77" i="27"/>
  <c r="H73" i="27"/>
  <c r="H69" i="27"/>
  <c r="H65" i="27"/>
  <c r="H61" i="27"/>
  <c r="H57" i="27"/>
  <c r="H48" i="27"/>
  <c r="H44" i="27"/>
  <c r="H40" i="27"/>
  <c r="H396" i="27"/>
  <c r="H392" i="27"/>
  <c r="H388" i="27"/>
  <c r="H384" i="27"/>
  <c r="H380" i="27"/>
  <c r="H376" i="27"/>
  <c r="H372" i="27"/>
  <c r="H368" i="27"/>
  <c r="H364" i="27"/>
  <c r="H360" i="27"/>
  <c r="H356" i="27"/>
  <c r="H347" i="27"/>
  <c r="H343" i="27"/>
  <c r="H339" i="27"/>
  <c r="H335" i="27"/>
  <c r="H331" i="27"/>
  <c r="H327" i="27"/>
  <c r="H323" i="27"/>
  <c r="H319" i="27"/>
  <c r="H315" i="27"/>
  <c r="H311" i="27"/>
  <c r="H307" i="27"/>
  <c r="H298" i="27"/>
  <c r="H294" i="27"/>
  <c r="H290" i="27"/>
  <c r="H286" i="27"/>
  <c r="H282" i="27"/>
  <c r="H278" i="27"/>
  <c r="H274" i="27"/>
  <c r="H270" i="27"/>
  <c r="H266" i="27"/>
  <c r="H262" i="27"/>
  <c r="H258" i="27"/>
  <c r="H254" i="27"/>
  <c r="H245" i="27"/>
  <c r="H241" i="27"/>
  <c r="H237" i="27"/>
  <c r="H233" i="27"/>
  <c r="H229" i="27"/>
  <c r="H225" i="27"/>
  <c r="H221" i="27"/>
  <c r="H217" i="27"/>
  <c r="H213" i="27"/>
  <c r="H209" i="27"/>
  <c r="H205" i="27"/>
  <c r="H196" i="27"/>
  <c r="H192" i="27"/>
  <c r="H188" i="27"/>
  <c r="H184" i="27"/>
  <c r="H180" i="27"/>
  <c r="H176" i="27"/>
  <c r="H172" i="27"/>
  <c r="H168" i="27"/>
  <c r="H164" i="27"/>
  <c r="H160" i="27"/>
  <c r="H156" i="27"/>
  <c r="H147" i="27"/>
  <c r="H143" i="27"/>
  <c r="H139" i="27"/>
  <c r="H135" i="27"/>
  <c r="H131" i="27"/>
  <c r="H127" i="27"/>
  <c r="H123" i="27"/>
  <c r="H119" i="27"/>
  <c r="H115" i="27"/>
  <c r="H111" i="27"/>
  <c r="H107" i="27"/>
  <c r="H98" i="27"/>
  <c r="H94" i="27"/>
  <c r="H90" i="27"/>
  <c r="H86" i="27"/>
  <c r="H82" i="27"/>
  <c r="H78" i="27"/>
  <c r="H74" i="27"/>
  <c r="H70" i="27"/>
  <c r="H66" i="27"/>
  <c r="H62" i="27"/>
  <c r="H58" i="27"/>
  <c r="H54" i="27"/>
  <c r="H45" i="27"/>
  <c r="H41" i="27"/>
  <c r="H397" i="27"/>
  <c r="H393" i="27"/>
  <c r="H389" i="27"/>
  <c r="H385" i="27"/>
  <c r="H381" i="27"/>
  <c r="H377" i="27"/>
  <c r="H373" i="27"/>
  <c r="H369" i="27"/>
  <c r="H365" i="27"/>
  <c r="H361" i="27"/>
  <c r="H357" i="27"/>
  <c r="H348" i="27"/>
  <c r="H344" i="27"/>
  <c r="H340" i="27"/>
  <c r="H336" i="27"/>
  <c r="H332" i="27"/>
  <c r="H328" i="27"/>
  <c r="H324" i="27"/>
  <c r="H320" i="27"/>
  <c r="H316" i="27"/>
  <c r="H312" i="27"/>
  <c r="H308" i="27"/>
  <c r="H304" i="27"/>
  <c r="H295" i="27"/>
  <c r="H291" i="27"/>
  <c r="H287" i="27"/>
  <c r="H283" i="27"/>
  <c r="H279" i="27"/>
  <c r="H275" i="27"/>
  <c r="H271" i="27"/>
  <c r="H267" i="27"/>
  <c r="H263" i="27"/>
  <c r="H259" i="27"/>
  <c r="H255" i="27"/>
  <c r="H246" i="27"/>
  <c r="H242" i="27"/>
  <c r="H238" i="27"/>
  <c r="H234" i="27"/>
  <c r="H230" i="27"/>
  <c r="H226" i="27"/>
  <c r="H222" i="27"/>
  <c r="H218" i="27"/>
  <c r="H214" i="27"/>
  <c r="H210" i="27"/>
  <c r="H206" i="27"/>
  <c r="H197" i="27"/>
  <c r="H193" i="27"/>
  <c r="H189" i="27"/>
  <c r="H185" i="27"/>
  <c r="H181" i="27"/>
  <c r="H177" i="27"/>
  <c r="H173" i="27"/>
  <c r="H169" i="27"/>
  <c r="H165" i="27"/>
  <c r="H161" i="27"/>
  <c r="H157" i="27"/>
  <c r="H148" i="27"/>
  <c r="H144" i="27"/>
  <c r="H140" i="27"/>
  <c r="H136" i="27"/>
  <c r="H132" i="27"/>
  <c r="H128" i="27"/>
  <c r="H124" i="27"/>
  <c r="H120" i="27"/>
  <c r="H116" i="27"/>
  <c r="H112" i="27"/>
  <c r="H108" i="27"/>
  <c r="H104" i="27"/>
  <c r="H95" i="27"/>
  <c r="H91" i="27"/>
  <c r="H87" i="27"/>
  <c r="H83" i="27"/>
  <c r="H79" i="27"/>
  <c r="H75" i="27"/>
  <c r="H71" i="27"/>
  <c r="H67" i="27"/>
  <c r="H63" i="27"/>
  <c r="H59" i="27"/>
  <c r="H55" i="27"/>
  <c r="H46" i="27"/>
  <c r="H42" i="27"/>
  <c r="H398" i="27"/>
  <c r="H382" i="27"/>
  <c r="H366" i="27"/>
  <c r="H345" i="27"/>
  <c r="H329" i="27"/>
  <c r="H313" i="27"/>
  <c r="H292" i="27"/>
  <c r="H276" i="27"/>
  <c r="H260" i="27"/>
  <c r="H239" i="27"/>
  <c r="H223" i="27"/>
  <c r="H207" i="27"/>
  <c r="H186" i="27"/>
  <c r="H170" i="27"/>
  <c r="H154" i="27"/>
  <c r="H133" i="27"/>
  <c r="H117" i="27"/>
  <c r="H96" i="27"/>
  <c r="H80" i="27"/>
  <c r="H64" i="27"/>
  <c r="H43" i="27"/>
  <c r="H38" i="27"/>
  <c r="H34" i="27"/>
  <c r="H30" i="27"/>
  <c r="H26" i="27"/>
  <c r="H22" i="27"/>
  <c r="H18" i="27"/>
  <c r="H14" i="27"/>
  <c r="H10" i="27"/>
  <c r="H6" i="27"/>
  <c r="H27" i="27"/>
  <c r="H15" i="27"/>
  <c r="H11" i="27"/>
  <c r="H7" i="27"/>
  <c r="H333" i="27"/>
  <c r="H296" i="27"/>
  <c r="H264" i="27"/>
  <c r="H227" i="27"/>
  <c r="H174" i="27"/>
  <c r="H158" i="27"/>
  <c r="H137" i="27"/>
  <c r="H121" i="27"/>
  <c r="H68" i="27"/>
  <c r="H47" i="27"/>
  <c r="H37" i="27"/>
  <c r="H33" i="27"/>
  <c r="H25" i="27"/>
  <c r="H21" i="27"/>
  <c r="H394" i="27"/>
  <c r="H378" i="27"/>
  <c r="H362" i="27"/>
  <c r="H341" i="27"/>
  <c r="H325" i="27"/>
  <c r="H309" i="27"/>
  <c r="H288" i="27"/>
  <c r="H272" i="27"/>
  <c r="H256" i="27"/>
  <c r="H235" i="27"/>
  <c r="H219" i="27"/>
  <c r="H198" i="27"/>
  <c r="H182" i="27"/>
  <c r="H166" i="27"/>
  <c r="H145" i="27"/>
  <c r="H129" i="27"/>
  <c r="H113" i="27"/>
  <c r="H92" i="27"/>
  <c r="H76" i="27"/>
  <c r="H60" i="27"/>
  <c r="H39" i="27"/>
  <c r="H35" i="27"/>
  <c r="H31" i="27"/>
  <c r="H23" i="27"/>
  <c r="H19" i="27"/>
  <c r="H105" i="27"/>
  <c r="H84" i="27"/>
  <c r="H29" i="27"/>
  <c r="H17" i="27"/>
  <c r="H390" i="27"/>
  <c r="H374" i="27"/>
  <c r="H358" i="27"/>
  <c r="H337" i="27"/>
  <c r="H321" i="27"/>
  <c r="H305" i="27"/>
  <c r="H284" i="27"/>
  <c r="H268" i="27"/>
  <c r="H247" i="27"/>
  <c r="H231" i="27"/>
  <c r="H215" i="27"/>
  <c r="H194" i="27"/>
  <c r="H178" i="27"/>
  <c r="H162" i="27"/>
  <c r="H141" i="27"/>
  <c r="H125" i="27"/>
  <c r="H109" i="27"/>
  <c r="H88" i="27"/>
  <c r="H72" i="27"/>
  <c r="H56" i="27"/>
  <c r="H36" i="27"/>
  <c r="H32" i="27"/>
  <c r="H28" i="27"/>
  <c r="H24" i="27"/>
  <c r="H20" i="27"/>
  <c r="H16" i="27"/>
  <c r="H12" i="27"/>
  <c r="H8" i="27"/>
  <c r="H4" i="27"/>
  <c r="H386" i="27"/>
  <c r="H370" i="27"/>
  <c r="H354" i="27"/>
  <c r="H317" i="27"/>
  <c r="H280" i="27"/>
  <c r="H243" i="27"/>
  <c r="H211" i="27"/>
  <c r="H190" i="27"/>
  <c r="H13" i="27"/>
  <c r="H9" i="27"/>
  <c r="H5" i="27"/>
  <c r="H21" i="20"/>
  <c r="H22" i="20"/>
  <c r="H18" i="20"/>
  <c r="H19" i="20"/>
  <c r="H20" i="20"/>
  <c r="H276" i="3"/>
  <c r="H273" i="3"/>
  <c r="H275" i="3"/>
  <c r="H277" i="3"/>
  <c r="H274" i="3"/>
  <c r="H44" i="16"/>
  <c r="O186" i="5" l="1"/>
  <c r="AA186" i="5" s="1"/>
  <c r="A302" i="8"/>
  <c r="A303" i="8" s="1"/>
  <c r="A304" i="8" s="1"/>
  <c r="A305" i="8" s="1"/>
  <c r="A306" i="8" s="1"/>
  <c r="U291" i="6"/>
  <c r="U289" i="6"/>
  <c r="U288" i="6"/>
  <c r="U287" i="6"/>
  <c r="U286" i="6"/>
  <c r="U285" i="6"/>
  <c r="U284" i="6"/>
  <c r="U283" i="6"/>
  <c r="U282" i="6"/>
  <c r="U281" i="6"/>
  <c r="U280" i="6"/>
  <c r="U279" i="6"/>
  <c r="U278" i="6"/>
  <c r="U277" i="6"/>
  <c r="U276" i="6"/>
  <c r="U275" i="6"/>
  <c r="U274" i="6"/>
  <c r="U273" i="6"/>
  <c r="U272" i="6"/>
  <c r="U271" i="6"/>
  <c r="U270" i="6"/>
  <c r="U269" i="6"/>
  <c r="U268" i="6"/>
  <c r="U267" i="6"/>
  <c r="U266" i="6"/>
  <c r="U265" i="6"/>
  <c r="U264" i="6"/>
  <c r="U263" i="6"/>
  <c r="U262" i="6"/>
  <c r="U261" i="6"/>
  <c r="U260" i="6"/>
  <c r="U259" i="6"/>
  <c r="U258" i="6"/>
  <c r="U257" i="6"/>
  <c r="B65" i="2" l="1"/>
  <c r="L60" i="11" l="1"/>
  <c r="K111" i="9"/>
  <c r="K55" i="9"/>
  <c r="I2" i="19" l="1"/>
  <c r="L2" i="18"/>
  <c r="L2" i="17"/>
  <c r="L2" i="11"/>
  <c r="K2" i="9"/>
  <c r="K225" i="16" l="1"/>
  <c r="B225" i="16"/>
  <c r="A291" i="8" l="1"/>
  <c r="A292" i="8" s="1"/>
  <c r="A293" i="8" s="1"/>
  <c r="A294" i="8" s="1"/>
  <c r="A295" i="8" s="1"/>
  <c r="A296" i="8" s="1"/>
  <c r="A297" i="8" s="1"/>
  <c r="A4" i="13" l="1"/>
  <c r="A5" i="13" s="1"/>
  <c r="A4" i="5"/>
  <c r="A5" i="5" s="1"/>
  <c r="T291" i="6"/>
  <c r="T289" i="6"/>
  <c r="T288" i="6"/>
  <c r="T287" i="6"/>
  <c r="T286" i="6"/>
  <c r="T285" i="6"/>
  <c r="T284" i="6"/>
  <c r="T283" i="6"/>
  <c r="T282" i="6"/>
  <c r="T281" i="6"/>
  <c r="T280" i="6"/>
  <c r="T279" i="6"/>
  <c r="T278" i="6"/>
  <c r="T277" i="6"/>
  <c r="T276" i="6"/>
  <c r="T275" i="6"/>
  <c r="T274" i="6"/>
  <c r="T273" i="6"/>
  <c r="T272" i="6"/>
  <c r="T271" i="6"/>
  <c r="T270" i="6"/>
  <c r="T269" i="6"/>
  <c r="T268" i="6"/>
  <c r="T267" i="6"/>
  <c r="T266" i="6"/>
  <c r="T265" i="6"/>
  <c r="T264" i="6"/>
  <c r="T263" i="6"/>
  <c r="T262" i="6"/>
  <c r="T261" i="6"/>
  <c r="T260" i="6"/>
  <c r="T259" i="6"/>
  <c r="T258" i="6"/>
  <c r="T257" i="6"/>
  <c r="J123" i="9" l="1"/>
  <c r="J122" i="9"/>
  <c r="J121" i="9"/>
  <c r="J120" i="9"/>
  <c r="J119" i="9"/>
  <c r="A279" i="8" l="1"/>
  <c r="A280" i="8" s="1"/>
  <c r="A281" i="8" s="1"/>
  <c r="A282" i="8" s="1"/>
  <c r="A283" i="8" s="1"/>
  <c r="A284" i="8" s="1"/>
  <c r="A285" i="8" s="1"/>
  <c r="A286" i="8" s="1"/>
  <c r="S291" i="6"/>
  <c r="S289" i="6"/>
  <c r="S288" i="6"/>
  <c r="S287" i="6"/>
  <c r="S286" i="6"/>
  <c r="S285" i="6"/>
  <c r="S284" i="6"/>
  <c r="S283" i="6"/>
  <c r="S282" i="6"/>
  <c r="S281" i="6"/>
  <c r="S280" i="6"/>
  <c r="S279" i="6"/>
  <c r="S278" i="6"/>
  <c r="S277" i="6"/>
  <c r="S276" i="6"/>
  <c r="S275" i="6"/>
  <c r="S274" i="6"/>
  <c r="S273" i="6"/>
  <c r="S272" i="6"/>
  <c r="S271" i="6"/>
  <c r="S270" i="6"/>
  <c r="S269" i="6"/>
  <c r="S268" i="6"/>
  <c r="S267" i="6"/>
  <c r="S266" i="6"/>
  <c r="S265" i="6"/>
  <c r="S264" i="6"/>
  <c r="S263" i="6"/>
  <c r="S262" i="6"/>
  <c r="S261" i="6"/>
  <c r="S260" i="6"/>
  <c r="S259" i="6"/>
  <c r="S258" i="6"/>
  <c r="S257" i="6"/>
  <c r="O185" i="5"/>
  <c r="AA185" i="5" s="1"/>
  <c r="N184" i="5"/>
  <c r="AA184" i="5" s="1"/>
  <c r="A52" i="19"/>
  <c r="I1" i="19"/>
  <c r="K1" i="9"/>
  <c r="H4" i="19"/>
  <c r="A4" i="19"/>
  <c r="I46" i="19"/>
  <c r="I48" i="19" s="1"/>
  <c r="I49" i="19" s="1"/>
  <c r="H46" i="19"/>
  <c r="H48" i="19" s="1"/>
  <c r="H49" i="19" s="1"/>
  <c r="G46" i="19"/>
  <c r="G48" i="19" s="1"/>
  <c r="G49" i="19" s="1"/>
  <c r="F46" i="19"/>
  <c r="F48" i="19" s="1"/>
  <c r="F49" i="19" s="1"/>
  <c r="E45" i="19"/>
  <c r="E46" i="19" s="1"/>
  <c r="E47" i="19" s="1"/>
  <c r="E48" i="19" s="1"/>
  <c r="E49" i="19" s="1"/>
  <c r="I37" i="19"/>
  <c r="I39" i="19" s="1"/>
  <c r="I40" i="19" s="1"/>
  <c r="H37" i="19"/>
  <c r="H39" i="19" s="1"/>
  <c r="H40" i="19" s="1"/>
  <c r="G37" i="19"/>
  <c r="G39" i="19" s="1"/>
  <c r="G40" i="19" s="1"/>
  <c r="F37" i="19"/>
  <c r="F39" i="19" s="1"/>
  <c r="F40" i="19" s="1"/>
  <c r="E36" i="19"/>
  <c r="E37" i="19" s="1"/>
  <c r="E38" i="19" s="1"/>
  <c r="E39" i="19" s="1"/>
  <c r="E40" i="19" s="1"/>
  <c r="I28" i="19"/>
  <c r="I30" i="19" s="1"/>
  <c r="I31" i="19" s="1"/>
  <c r="H28" i="19"/>
  <c r="H30" i="19"/>
  <c r="H31" i="19" s="1"/>
  <c r="G28" i="19"/>
  <c r="G30" i="19" s="1"/>
  <c r="G31" i="19" s="1"/>
  <c r="F28" i="19"/>
  <c r="F30" i="19" s="1"/>
  <c r="F31" i="19" s="1"/>
  <c r="E27" i="19"/>
  <c r="E28" i="19" s="1"/>
  <c r="E29" i="19" s="1"/>
  <c r="E30" i="19" s="1"/>
  <c r="E31" i="19" s="1"/>
  <c r="I19" i="19"/>
  <c r="I21" i="19" s="1"/>
  <c r="I22" i="19" s="1"/>
  <c r="H19" i="19"/>
  <c r="H21" i="19" s="1"/>
  <c r="H22" i="19" s="1"/>
  <c r="G19" i="19"/>
  <c r="G21" i="19" s="1"/>
  <c r="G22" i="19" s="1"/>
  <c r="F19" i="19"/>
  <c r="F21" i="19" s="1"/>
  <c r="F22" i="19" s="1"/>
  <c r="E18" i="19"/>
  <c r="E19" i="19" s="1"/>
  <c r="E20" i="19" s="1"/>
  <c r="E21" i="19" s="1"/>
  <c r="E22" i="19" s="1"/>
  <c r="I10" i="19"/>
  <c r="I12" i="19" s="1"/>
  <c r="I13" i="19" s="1"/>
  <c r="H10" i="19"/>
  <c r="H12" i="19" s="1"/>
  <c r="H13" i="19" s="1"/>
  <c r="G10" i="19"/>
  <c r="G12" i="19" s="1"/>
  <c r="G13" i="19" s="1"/>
  <c r="F10" i="19"/>
  <c r="F12" i="19"/>
  <c r="F13" i="19" s="1"/>
  <c r="E8" i="19"/>
  <c r="E9" i="19" s="1"/>
  <c r="E10" i="19" s="1"/>
  <c r="E11" i="19" s="1"/>
  <c r="E12" i="19" s="1"/>
  <c r="E13" i="19" s="1"/>
  <c r="A258" i="8"/>
  <c r="A259" i="8" s="1"/>
  <c r="A260" i="8" s="1"/>
  <c r="A261" i="8" s="1"/>
  <c r="A262" i="8" s="1"/>
  <c r="A263" i="8" s="1"/>
  <c r="A264" i="8" s="1"/>
  <c r="A265" i="8" s="1"/>
  <c r="A266" i="8" s="1"/>
  <c r="A267" i="8" s="1"/>
  <c r="A268" i="8" s="1"/>
  <c r="A269" i="8" s="1"/>
  <c r="A270" i="8" s="1"/>
  <c r="A272" i="8" s="1"/>
  <c r="A273" i="8" s="1"/>
  <c r="A274" i="8" s="1"/>
  <c r="Q291" i="6"/>
  <c r="Q289" i="6"/>
  <c r="Q288" i="6"/>
  <c r="Q287" i="6"/>
  <c r="Q286" i="6"/>
  <c r="Q285" i="6"/>
  <c r="Q284" i="6"/>
  <c r="Q283" i="6"/>
  <c r="Q282" i="6"/>
  <c r="Q281" i="6"/>
  <c r="Q280" i="6"/>
  <c r="Q279" i="6"/>
  <c r="Q278" i="6"/>
  <c r="Q277" i="6"/>
  <c r="Q276" i="6"/>
  <c r="Q275" i="6"/>
  <c r="Q274" i="6"/>
  <c r="Q273" i="6"/>
  <c r="Q272" i="6"/>
  <c r="Q271" i="6"/>
  <c r="Q270" i="6"/>
  <c r="Q269" i="6"/>
  <c r="Q268" i="6"/>
  <c r="Q267" i="6"/>
  <c r="Q266" i="6"/>
  <c r="Q265" i="6"/>
  <c r="Q264" i="6"/>
  <c r="Q263" i="6"/>
  <c r="Q262" i="6"/>
  <c r="Q261" i="6"/>
  <c r="Q260" i="6"/>
  <c r="Q259" i="6"/>
  <c r="Q258" i="6"/>
  <c r="Q257" i="6"/>
  <c r="G39" i="15"/>
  <c r="H33" i="12"/>
  <c r="A31" i="12"/>
  <c r="A32" i="12" s="1"/>
  <c r="A37" i="15"/>
  <c r="R291" i="6"/>
  <c r="R289" i="6"/>
  <c r="R288" i="6"/>
  <c r="R287" i="6"/>
  <c r="R286" i="6"/>
  <c r="R285" i="6"/>
  <c r="R284" i="6"/>
  <c r="R283" i="6"/>
  <c r="R282" i="6"/>
  <c r="R281" i="6"/>
  <c r="R280" i="6"/>
  <c r="R279" i="6"/>
  <c r="R278" i="6"/>
  <c r="R277" i="6"/>
  <c r="R276" i="6"/>
  <c r="R275" i="6"/>
  <c r="R274" i="6"/>
  <c r="R273" i="6"/>
  <c r="R272" i="6"/>
  <c r="R271" i="6"/>
  <c r="R270" i="6"/>
  <c r="R269" i="6"/>
  <c r="R268" i="6"/>
  <c r="R267" i="6"/>
  <c r="R266" i="6"/>
  <c r="R265" i="6"/>
  <c r="R264" i="6"/>
  <c r="R263" i="6"/>
  <c r="R262" i="6"/>
  <c r="R261" i="6"/>
  <c r="R260" i="6"/>
  <c r="R259" i="6"/>
  <c r="R258" i="6"/>
  <c r="R257" i="6"/>
  <c r="A42" i="8"/>
  <c r="A43" i="8" s="1"/>
  <c r="A44" i="8" s="1"/>
  <c r="A45" i="8" s="1"/>
  <c r="A46" i="8" s="1"/>
  <c r="A47" i="8" s="1"/>
  <c r="A48" i="8" s="1"/>
  <c r="A49" i="8" s="1"/>
  <c r="A50" i="8" s="1"/>
  <c r="A51" i="8" s="1"/>
  <c r="A53" i="8" s="1"/>
  <c r="A55" i="8" s="1"/>
  <c r="A56" i="8" s="1"/>
  <c r="A57" i="8" s="1"/>
  <c r="A64" i="8" s="1"/>
  <c r="A65" i="8" s="1"/>
  <c r="A66" i="8" s="1"/>
  <c r="A67" i="8" s="1"/>
  <c r="A68" i="8" s="1"/>
  <c r="A69" i="8" s="1"/>
  <c r="A70" i="8" s="1"/>
  <c r="A71" i="8" s="1"/>
  <c r="A74" i="8" s="1"/>
  <c r="A75" i="8" s="1"/>
  <c r="A76" i="8" s="1"/>
  <c r="A77" i="8" s="1"/>
  <c r="A78" i="8" s="1"/>
  <c r="A81" i="8" s="1"/>
  <c r="A84" i="8" s="1"/>
  <c r="A85" i="8" s="1"/>
  <c r="A86" i="8" s="1"/>
  <c r="A87" i="8" s="1"/>
  <c r="A88" i="8" s="1"/>
  <c r="A89" i="8" s="1"/>
  <c r="A92" i="8" s="1"/>
  <c r="A93" i="8" s="1"/>
  <c r="A94" i="8" s="1"/>
  <c r="A95" i="8" s="1"/>
  <c r="A96" i="8" s="1"/>
  <c r="A99" i="8" s="1"/>
  <c r="A100" i="8" s="1"/>
  <c r="A101" i="8" s="1"/>
  <c r="A102" i="8" s="1"/>
  <c r="A105" i="8" s="1"/>
  <c r="A106" i="8" s="1"/>
  <c r="A107" i="8" s="1"/>
  <c r="A110" i="8" s="1"/>
  <c r="A111" i="8" s="1"/>
  <c r="A112" i="8" s="1"/>
  <c r="A113" i="8" s="1"/>
  <c r="A114" i="8" s="1"/>
  <c r="A115" i="8" s="1"/>
  <c r="A116" i="8" s="1"/>
  <c r="A117" i="8" s="1"/>
  <c r="A118" i="8" s="1"/>
  <c r="A119" i="8" s="1"/>
  <c r="A120" i="8" s="1"/>
  <c r="A121" i="8" s="1"/>
  <c r="A122" i="8" s="1"/>
  <c r="A123" i="8" s="1"/>
  <c r="A124" i="8" s="1"/>
  <c r="A125" i="8" s="1"/>
  <c r="A126" i="8" s="1"/>
  <c r="A127" i="8" s="1"/>
  <c r="A128" i="8" s="1"/>
  <c r="A129" i="8" s="1"/>
  <c r="A130" i="8" s="1"/>
  <c r="A131" i="8" s="1"/>
  <c r="A134" i="8" s="1"/>
  <c r="A135" i="8" s="1"/>
  <c r="A136" i="8" s="1"/>
  <c r="A137" i="8" s="1"/>
  <c r="A138" i="8" s="1"/>
  <c r="A139" i="8" s="1"/>
  <c r="A140" i="8" s="1"/>
  <c r="A141" i="8" s="1"/>
  <c r="A142" i="8" s="1"/>
  <c r="A143" i="8" s="1"/>
  <c r="A144" i="8" s="1"/>
  <c r="A145" i="8" s="1"/>
  <c r="A146" i="8" s="1"/>
  <c r="A147" i="8" s="1"/>
  <c r="A150" i="8" s="1"/>
  <c r="A151" i="8" s="1"/>
  <c r="A152" i="8" s="1"/>
  <c r="A153" i="8" s="1"/>
  <c r="A154" i="8" s="1"/>
  <c r="A155" i="8" s="1"/>
  <c r="A156" i="8" s="1"/>
  <c r="A157" i="8" s="1"/>
  <c r="A158" i="8" s="1"/>
  <c r="A159" i="8" s="1"/>
  <c r="A160" i="8" s="1"/>
  <c r="A161" i="8" s="1"/>
  <c r="A162" i="8" s="1"/>
  <c r="A163" i="8" s="1"/>
  <c r="A164" i="8" s="1"/>
  <c r="A165" i="8" s="1"/>
  <c r="A169" i="8" s="1"/>
  <c r="A170" i="8" s="1"/>
  <c r="A171" i="8" s="1"/>
  <c r="A172" i="8" s="1"/>
  <c r="A173" i="8" s="1"/>
  <c r="A174" i="8" s="1"/>
  <c r="A175" i="8" s="1"/>
  <c r="A176" i="8" s="1"/>
  <c r="A177" i="8" s="1"/>
  <c r="A178" i="8" s="1"/>
  <c r="A179" i="8" s="1"/>
  <c r="A180" i="8" s="1"/>
  <c r="A181" i="8" s="1"/>
  <c r="A182" i="8" s="1"/>
  <c r="A186" i="8" s="1"/>
  <c r="A187" i="8" s="1"/>
  <c r="A188" i="8" s="1"/>
  <c r="A189" i="8" s="1"/>
  <c r="A190" i="8" s="1"/>
  <c r="A191" i="8" s="1"/>
  <c r="A192" i="8" s="1"/>
  <c r="A193" i="8" s="1"/>
  <c r="A194" i="8" s="1"/>
  <c r="A195" i="8" s="1"/>
  <c r="A196" i="8" s="1"/>
  <c r="A197" i="8" s="1"/>
  <c r="A198" i="8" s="1"/>
  <c r="A199" i="8" s="1"/>
  <c r="A200" i="8" s="1"/>
  <c r="A201" i="8" s="1"/>
  <c r="A202" i="8" s="1"/>
  <c r="A203" i="8" s="1"/>
  <c r="A204" i="8" s="1"/>
  <c r="A205" i="8" s="1"/>
  <c r="A206" i="8" s="1"/>
  <c r="A207" i="8" s="1"/>
  <c r="A208" i="8" s="1"/>
  <c r="A209" i="8" s="1"/>
  <c r="A210" i="8" s="1"/>
  <c r="A211" i="8" s="1"/>
  <c r="A212" i="8" s="1"/>
  <c r="A213" i="8" s="1"/>
  <c r="A214" i="8" s="1"/>
  <c r="A215" i="8" s="1"/>
  <c r="A216" i="8" s="1"/>
  <c r="A217" i="8" s="1"/>
  <c r="A218" i="8" s="1"/>
  <c r="A219" i="8" s="1"/>
  <c r="A220" i="8" s="1"/>
  <c r="A223" i="8" s="1"/>
  <c r="A224" i="8" s="1"/>
  <c r="A225" i="8" s="1"/>
  <c r="A226" i="8" s="1"/>
  <c r="A227" i="8" s="1"/>
  <c r="B7" i="14"/>
  <c r="B23" i="14" s="1"/>
  <c r="B8" i="14"/>
  <c r="B32" i="14" s="1"/>
  <c r="B9" i="14"/>
  <c r="B41" i="14" s="1"/>
  <c r="B10" i="14"/>
  <c r="B42" i="14" s="1"/>
  <c r="B11" i="14"/>
  <c r="B27" i="14" s="1"/>
  <c r="L173" i="16"/>
  <c r="C92" i="3"/>
  <c r="C93" i="3"/>
  <c r="I140" i="16" s="1"/>
  <c r="C94" i="3"/>
  <c r="I141" i="16" s="1"/>
  <c r="L143" i="16"/>
  <c r="L164" i="16"/>
  <c r="L145" i="16" s="1"/>
  <c r="L147" i="16"/>
  <c r="L151" i="16"/>
  <c r="D151" i="16" s="1"/>
  <c r="C100" i="3"/>
  <c r="C101" i="3"/>
  <c r="I158" i="16" s="1"/>
  <c r="C102" i="3"/>
  <c r="I159" i="16" s="1"/>
  <c r="L166" i="16"/>
  <c r="D166" i="16" s="1"/>
  <c r="L1" i="18"/>
  <c r="L59" i="18" s="1"/>
  <c r="B4" i="18"/>
  <c r="B62" i="18" s="1"/>
  <c r="K4" i="18"/>
  <c r="K62" i="18" s="1"/>
  <c r="G6" i="18"/>
  <c r="K6" i="18"/>
  <c r="N7" i="18" s="1"/>
  <c r="G7" i="18"/>
  <c r="K8" i="18"/>
  <c r="N8" i="18" s="1"/>
  <c r="G12" i="18"/>
  <c r="J12" i="18"/>
  <c r="L12" i="18"/>
  <c r="G13" i="18"/>
  <c r="J13" i="18"/>
  <c r="L13" i="18"/>
  <c r="G14" i="18"/>
  <c r="J14" i="18"/>
  <c r="L14" i="18"/>
  <c r="G15" i="18"/>
  <c r="J15" i="18"/>
  <c r="L15" i="18"/>
  <c r="G16" i="18"/>
  <c r="J16" i="18"/>
  <c r="L16" i="18"/>
  <c r="G17" i="18"/>
  <c r="J17" i="18"/>
  <c r="L17" i="18"/>
  <c r="G18" i="18"/>
  <c r="J18" i="18"/>
  <c r="L18" i="18"/>
  <c r="G19" i="18"/>
  <c r="J19" i="18"/>
  <c r="L19" i="18"/>
  <c r="G20" i="18"/>
  <c r="J20" i="18"/>
  <c r="L20" i="18"/>
  <c r="G21" i="18"/>
  <c r="J21" i="18"/>
  <c r="L21" i="18"/>
  <c r="G22" i="18"/>
  <c r="J22" i="18"/>
  <c r="L22" i="18"/>
  <c r="G23" i="18"/>
  <c r="J23" i="18"/>
  <c r="L23" i="18"/>
  <c r="G24" i="18"/>
  <c r="J24" i="18"/>
  <c r="L24" i="18"/>
  <c r="G25" i="18"/>
  <c r="J25" i="18"/>
  <c r="L25" i="18"/>
  <c r="G26" i="18"/>
  <c r="J26" i="18"/>
  <c r="L26" i="18"/>
  <c r="G27" i="18"/>
  <c r="J27" i="18"/>
  <c r="L27" i="18"/>
  <c r="G28" i="18"/>
  <c r="J28" i="18"/>
  <c r="L28" i="18"/>
  <c r="G29" i="18"/>
  <c r="J29" i="18"/>
  <c r="L29" i="18"/>
  <c r="G30" i="18"/>
  <c r="J30" i="18"/>
  <c r="L30" i="18"/>
  <c r="G31" i="18"/>
  <c r="J31" i="18"/>
  <c r="L31" i="18"/>
  <c r="G32" i="18"/>
  <c r="J32" i="18"/>
  <c r="L32" i="18"/>
  <c r="G33" i="18"/>
  <c r="J33" i="18"/>
  <c r="L33" i="18"/>
  <c r="G34" i="18"/>
  <c r="J34" i="18"/>
  <c r="L34" i="18"/>
  <c r="G35" i="18"/>
  <c r="J35" i="18"/>
  <c r="L35" i="18"/>
  <c r="G36" i="18"/>
  <c r="J36" i="18"/>
  <c r="L36" i="18"/>
  <c r="G37" i="18"/>
  <c r="J37" i="18"/>
  <c r="L37" i="18"/>
  <c r="G38" i="18"/>
  <c r="J38" i="18"/>
  <c r="L38" i="18"/>
  <c r="G39" i="18"/>
  <c r="J39" i="18"/>
  <c r="L39" i="18"/>
  <c r="G40" i="18"/>
  <c r="J40" i="18"/>
  <c r="L40" i="18"/>
  <c r="G41" i="18"/>
  <c r="J41" i="18"/>
  <c r="L41" i="18"/>
  <c r="G42" i="18"/>
  <c r="J42" i="18"/>
  <c r="L42" i="18"/>
  <c r="G43" i="18"/>
  <c r="J43" i="18"/>
  <c r="L43" i="18"/>
  <c r="G44" i="18"/>
  <c r="J44" i="18"/>
  <c r="L44" i="18"/>
  <c r="G45" i="18"/>
  <c r="J45" i="18"/>
  <c r="L45" i="18"/>
  <c r="G46" i="18"/>
  <c r="J46" i="18"/>
  <c r="L46" i="18"/>
  <c r="G47" i="18"/>
  <c r="J47" i="18"/>
  <c r="L47" i="18"/>
  <c r="G48" i="18"/>
  <c r="J48" i="18"/>
  <c r="L48" i="18"/>
  <c r="G49" i="18"/>
  <c r="J49" i="18"/>
  <c r="L49" i="18"/>
  <c r="G50" i="18"/>
  <c r="J50" i="18"/>
  <c r="L50" i="18"/>
  <c r="G51" i="18"/>
  <c r="J51" i="18"/>
  <c r="L51" i="18"/>
  <c r="G52" i="18"/>
  <c r="J52" i="18"/>
  <c r="L52" i="18"/>
  <c r="G53" i="18"/>
  <c r="J53" i="18"/>
  <c r="L53" i="18"/>
  <c r="G54" i="18"/>
  <c r="J54" i="18"/>
  <c r="L54" i="18"/>
  <c r="G55" i="18"/>
  <c r="J55" i="18"/>
  <c r="L55" i="18"/>
  <c r="G56" i="18"/>
  <c r="J56" i="18"/>
  <c r="L56" i="18"/>
  <c r="C66" i="18"/>
  <c r="C67" i="18"/>
  <c r="C68" i="18"/>
  <c r="C69" i="18"/>
  <c r="C70" i="18"/>
  <c r="C71" i="18"/>
  <c r="C72" i="18"/>
  <c r="C73" i="18"/>
  <c r="C74" i="18"/>
  <c r="C75" i="18"/>
  <c r="C76" i="18"/>
  <c r="C77" i="18"/>
  <c r="C78" i="18"/>
  <c r="C79" i="18"/>
  <c r="C80" i="18"/>
  <c r="C81" i="18"/>
  <c r="C82" i="18"/>
  <c r="C83" i="18"/>
  <c r="C84" i="18"/>
  <c r="C85" i="18"/>
  <c r="C86" i="18"/>
  <c r="C87" i="18"/>
  <c r="C88" i="18"/>
  <c r="C89" i="18"/>
  <c r="C90" i="18"/>
  <c r="C91" i="18"/>
  <c r="C92" i="18"/>
  <c r="C93" i="18"/>
  <c r="C94" i="18"/>
  <c r="C95" i="18"/>
  <c r="C96" i="18"/>
  <c r="C97" i="18"/>
  <c r="C98" i="18"/>
  <c r="C99" i="18"/>
  <c r="C100" i="18"/>
  <c r="C101" i="18"/>
  <c r="C102" i="18"/>
  <c r="C103" i="18"/>
  <c r="C104" i="18"/>
  <c r="C105" i="18"/>
  <c r="C106" i="18"/>
  <c r="C107" i="18"/>
  <c r="C108" i="18"/>
  <c r="C109" i="18"/>
  <c r="C110" i="18"/>
  <c r="G111" i="18"/>
  <c r="L56" i="17"/>
  <c r="L55" i="17"/>
  <c r="L54" i="17"/>
  <c r="L53" i="17"/>
  <c r="L52" i="17"/>
  <c r="L51" i="17"/>
  <c r="L50" i="17"/>
  <c r="L49" i="17"/>
  <c r="L48" i="17"/>
  <c r="L47" i="17"/>
  <c r="L46" i="17"/>
  <c r="L45" i="17"/>
  <c r="L44" i="17"/>
  <c r="L43" i="17"/>
  <c r="L42" i="17"/>
  <c r="L41" i="17"/>
  <c r="L40" i="17"/>
  <c r="L39" i="17"/>
  <c r="L38" i="17"/>
  <c r="L37" i="17"/>
  <c r="L36" i="17"/>
  <c r="L35" i="17"/>
  <c r="L34" i="17"/>
  <c r="L33" i="17"/>
  <c r="L32" i="17"/>
  <c r="L31" i="17"/>
  <c r="L30" i="17"/>
  <c r="L29" i="17"/>
  <c r="L28" i="17"/>
  <c r="L27" i="17"/>
  <c r="L26" i="17"/>
  <c r="L25" i="17"/>
  <c r="L24" i="17"/>
  <c r="L23" i="17"/>
  <c r="L22" i="17"/>
  <c r="L21" i="17"/>
  <c r="L20" i="17"/>
  <c r="L19" i="17"/>
  <c r="L18" i="17"/>
  <c r="L17" i="17"/>
  <c r="L16" i="17"/>
  <c r="L15" i="17"/>
  <c r="L14" i="17"/>
  <c r="L13" i="17"/>
  <c r="L12" i="17"/>
  <c r="J56" i="17"/>
  <c r="J55" i="17"/>
  <c r="J54" i="17"/>
  <c r="J53" i="17"/>
  <c r="J52" i="17"/>
  <c r="J51" i="17"/>
  <c r="J50" i="17"/>
  <c r="J49" i="17"/>
  <c r="J48" i="17"/>
  <c r="J47" i="17"/>
  <c r="J46" i="17"/>
  <c r="J45" i="17"/>
  <c r="J44" i="17"/>
  <c r="J43" i="17"/>
  <c r="J42" i="17"/>
  <c r="J41" i="17"/>
  <c r="J40" i="17"/>
  <c r="J39" i="17"/>
  <c r="J38" i="17"/>
  <c r="J37" i="17"/>
  <c r="J36" i="17"/>
  <c r="J35" i="17"/>
  <c r="J34" i="17"/>
  <c r="J33" i="17"/>
  <c r="J32" i="17"/>
  <c r="J31" i="17"/>
  <c r="J30" i="17"/>
  <c r="J29" i="17"/>
  <c r="J28" i="17"/>
  <c r="J27" i="17"/>
  <c r="J26" i="17"/>
  <c r="J25" i="17"/>
  <c r="J24" i="17"/>
  <c r="J23" i="17"/>
  <c r="J22" i="17"/>
  <c r="J21" i="17"/>
  <c r="J20" i="17"/>
  <c r="J19" i="17"/>
  <c r="J18" i="17"/>
  <c r="J17" i="17"/>
  <c r="J16" i="17"/>
  <c r="J15" i="17"/>
  <c r="J14" i="17"/>
  <c r="J13" i="17"/>
  <c r="J12" i="17"/>
  <c r="K6" i="17"/>
  <c r="N7" i="17" s="1"/>
  <c r="K8" i="17"/>
  <c r="N8" i="17" s="1"/>
  <c r="G7" i="17"/>
  <c r="G6" i="17"/>
  <c r="L1" i="17"/>
  <c r="L59" i="17" s="1"/>
  <c r="B4" i="17"/>
  <c r="B62" i="17" s="1"/>
  <c r="K4" i="17"/>
  <c r="K62" i="17" s="1"/>
  <c r="G12" i="17"/>
  <c r="G13" i="17"/>
  <c r="G14" i="17"/>
  <c r="G15" i="17"/>
  <c r="G16" i="17"/>
  <c r="G17" i="17"/>
  <c r="G18" i="17"/>
  <c r="G19" i="17"/>
  <c r="G20" i="17"/>
  <c r="G21" i="17"/>
  <c r="G22" i="17"/>
  <c r="G23" i="17"/>
  <c r="G24" i="17"/>
  <c r="G25" i="17"/>
  <c r="G26" i="17"/>
  <c r="G27" i="17"/>
  <c r="G28" i="17"/>
  <c r="G29" i="17"/>
  <c r="G30" i="17"/>
  <c r="G31" i="17"/>
  <c r="G32" i="17"/>
  <c r="G33" i="17"/>
  <c r="G34" i="17"/>
  <c r="G35" i="17"/>
  <c r="G36" i="17"/>
  <c r="G37" i="17"/>
  <c r="G38" i="17"/>
  <c r="G39" i="17"/>
  <c r="G40" i="17"/>
  <c r="G41" i="17"/>
  <c r="G42" i="17"/>
  <c r="G43" i="17"/>
  <c r="G44" i="17"/>
  <c r="G45" i="17"/>
  <c r="G46" i="17"/>
  <c r="G47" i="17"/>
  <c r="G48" i="17"/>
  <c r="G49" i="17"/>
  <c r="G50" i="17"/>
  <c r="G51" i="17"/>
  <c r="G52" i="17"/>
  <c r="G53" i="17"/>
  <c r="G54" i="17"/>
  <c r="G55" i="17"/>
  <c r="G56" i="17"/>
  <c r="C66" i="17"/>
  <c r="C67" i="17"/>
  <c r="C68" i="17"/>
  <c r="C69" i="17"/>
  <c r="C70" i="17"/>
  <c r="C71" i="17"/>
  <c r="C72" i="17"/>
  <c r="C73" i="17"/>
  <c r="C74" i="17"/>
  <c r="C75" i="17"/>
  <c r="C76" i="17"/>
  <c r="C77" i="17"/>
  <c r="C78" i="17"/>
  <c r="C79" i="17"/>
  <c r="C80" i="17"/>
  <c r="C81" i="17"/>
  <c r="C82" i="17"/>
  <c r="C83" i="17"/>
  <c r="C84" i="17"/>
  <c r="C85" i="17"/>
  <c r="C86" i="17"/>
  <c r="C87" i="17"/>
  <c r="C88" i="17"/>
  <c r="C89" i="17"/>
  <c r="C90" i="17"/>
  <c r="C91" i="17"/>
  <c r="C92" i="17"/>
  <c r="C93" i="17"/>
  <c r="C94" i="17"/>
  <c r="C95" i="17"/>
  <c r="C96" i="17"/>
  <c r="C97" i="17"/>
  <c r="C98" i="17"/>
  <c r="C99" i="17"/>
  <c r="C100" i="17"/>
  <c r="C101" i="17"/>
  <c r="C102" i="17"/>
  <c r="C103" i="17"/>
  <c r="C104" i="17"/>
  <c r="C105" i="17"/>
  <c r="C106" i="17"/>
  <c r="C107" i="17"/>
  <c r="C108" i="17"/>
  <c r="C109" i="17"/>
  <c r="C110" i="17"/>
  <c r="G111" i="17"/>
  <c r="A6" i="13"/>
  <c r="A7" i="13" s="1"/>
  <c r="A8" i="13" s="1"/>
  <c r="A6" i="5"/>
  <c r="A7" i="5" s="1"/>
  <c r="A8" i="5" s="1"/>
  <c r="A9" i="5" s="1"/>
  <c r="I62" i="2"/>
  <c r="C106" i="3" s="1"/>
  <c r="C107" i="3"/>
  <c r="F56" i="7"/>
  <c r="H100" i="9" s="1"/>
  <c r="F57" i="7"/>
  <c r="H101" i="9" s="1"/>
  <c r="F53" i="7"/>
  <c r="H97" i="9" s="1"/>
  <c r="C9" i="7"/>
  <c r="D41" i="9" s="1"/>
  <c r="D9" i="7"/>
  <c r="E9" i="7"/>
  <c r="F41" i="9" s="1"/>
  <c r="F9" i="7"/>
  <c r="G41" i="9" s="1"/>
  <c r="G9" i="7"/>
  <c r="I41" i="9" s="1"/>
  <c r="C8" i="7"/>
  <c r="D40" i="9" s="1"/>
  <c r="D8" i="7"/>
  <c r="E40" i="9" s="1"/>
  <c r="E8" i="7"/>
  <c r="F40" i="9" s="1"/>
  <c r="F8" i="7"/>
  <c r="G8" i="7"/>
  <c r="I40" i="9" s="1"/>
  <c r="F23" i="7"/>
  <c r="H63" i="9" s="1"/>
  <c r="F22" i="7"/>
  <c r="H62" i="9" s="1"/>
  <c r="F24" i="7"/>
  <c r="H64" i="9" s="1"/>
  <c r="H21" i="7"/>
  <c r="K61" i="9" s="1"/>
  <c r="H7" i="7"/>
  <c r="F32" i="7" s="1"/>
  <c r="H72" i="9" s="1"/>
  <c r="H11" i="7"/>
  <c r="F31" i="7" s="1"/>
  <c r="C11" i="7"/>
  <c r="D43" i="9" s="1"/>
  <c r="D11" i="7"/>
  <c r="E43" i="9" s="1"/>
  <c r="E11" i="7"/>
  <c r="F11" i="7"/>
  <c r="G43" i="9" s="1"/>
  <c r="G11" i="7"/>
  <c r="I43" i="9" s="1"/>
  <c r="C10" i="7"/>
  <c r="D42" i="9" s="1"/>
  <c r="D10" i="7"/>
  <c r="E42" i="9" s="1"/>
  <c r="E10" i="7"/>
  <c r="F42" i="9" s="1"/>
  <c r="F10" i="7"/>
  <c r="G42" i="9" s="1"/>
  <c r="G10" i="7"/>
  <c r="I42" i="9" s="1"/>
  <c r="C7" i="7"/>
  <c r="D39" i="9" s="1"/>
  <c r="D7" i="7"/>
  <c r="E39" i="9" s="1"/>
  <c r="E7" i="7"/>
  <c r="F39" i="9" s="1"/>
  <c r="F7" i="7"/>
  <c r="G39" i="9" s="1"/>
  <c r="G7" i="7"/>
  <c r="I39" i="9" s="1"/>
  <c r="F9" i="3"/>
  <c r="C151" i="3"/>
  <c r="H9" i="12"/>
  <c r="H10" i="12" s="1"/>
  <c r="H12" i="12" s="1"/>
  <c r="H14" i="12" s="1"/>
  <c r="H20" i="12"/>
  <c r="H22" i="12" s="1"/>
  <c r="H23" i="12" s="1"/>
  <c r="B17" i="3"/>
  <c r="C1" i="6"/>
  <c r="A191" i="16" s="1"/>
  <c r="G12" i="11"/>
  <c r="G8" i="11"/>
  <c r="B3" i="14"/>
  <c r="B76" i="3"/>
  <c r="G12" i="2"/>
  <c r="D16" i="9"/>
  <c r="E16" i="9"/>
  <c r="F16" i="9"/>
  <c r="G16" i="9"/>
  <c r="I16" i="9"/>
  <c r="F12" i="9"/>
  <c r="G12" i="9"/>
  <c r="I12" i="9"/>
  <c r="D18" i="12"/>
  <c r="I139" i="2"/>
  <c r="C190" i="3" s="1"/>
  <c r="N242" i="16"/>
  <c r="I22" i="16"/>
  <c r="M71" i="16" s="1"/>
  <c r="A22" i="16"/>
  <c r="J70" i="16" s="1"/>
  <c r="N130" i="16"/>
  <c r="K124" i="16"/>
  <c r="H124" i="16"/>
  <c r="H122" i="16"/>
  <c r="I6" i="16"/>
  <c r="I24" i="16"/>
  <c r="E257" i="6"/>
  <c r="F257" i="6"/>
  <c r="G257" i="6"/>
  <c r="H257" i="6"/>
  <c r="I257" i="6"/>
  <c r="J257" i="6"/>
  <c r="K257" i="6"/>
  <c r="L257" i="6"/>
  <c r="M257" i="6"/>
  <c r="N257" i="6"/>
  <c r="O257" i="6"/>
  <c r="A259" i="6"/>
  <c r="A260" i="6" s="1"/>
  <c r="A261" i="6" s="1"/>
  <c r="A262" i="6" s="1"/>
  <c r="A263" i="6" s="1"/>
  <c r="A264" i="6" s="1"/>
  <c r="A265" i="6" s="1"/>
  <c r="A266" i="6" s="1"/>
  <c r="A267" i="6" s="1"/>
  <c r="A268" i="6" s="1"/>
  <c r="A269" i="6" s="1"/>
  <c r="A270" i="6" s="1"/>
  <c r="A271" i="6" s="1"/>
  <c r="A272" i="6" s="1"/>
  <c r="A273" i="6" s="1"/>
  <c r="A274" i="6" s="1"/>
  <c r="A275" i="6" s="1"/>
  <c r="A276" i="6" s="1"/>
  <c r="A277" i="6" s="1"/>
  <c r="A278" i="6" s="1"/>
  <c r="A279" i="6" s="1"/>
  <c r="A280" i="6" s="1"/>
  <c r="A281" i="6" s="1"/>
  <c r="A282" i="6" s="1"/>
  <c r="A283" i="6" s="1"/>
  <c r="A284" i="6" s="1"/>
  <c r="A285" i="6" s="1"/>
  <c r="A286" i="6" s="1"/>
  <c r="A287" i="6" s="1"/>
  <c r="A288" i="6" s="1"/>
  <c r="A289" i="6" s="1"/>
  <c r="A290" i="6" s="1"/>
  <c r="A291" i="6" s="1"/>
  <c r="A292" i="6" s="1"/>
  <c r="A293" i="6" s="1"/>
  <c r="A294" i="6" s="1"/>
  <c r="A295" i="6" s="1"/>
  <c r="A296" i="6" s="1"/>
  <c r="A7" i="6"/>
  <c r="A8" i="6"/>
  <c r="P291" i="6"/>
  <c r="P289" i="6"/>
  <c r="P288" i="6"/>
  <c r="P287" i="6"/>
  <c r="P286" i="6"/>
  <c r="P285" i="6"/>
  <c r="P284" i="6"/>
  <c r="P283" i="6"/>
  <c r="P282" i="6"/>
  <c r="P281" i="6"/>
  <c r="P280" i="6"/>
  <c r="P279" i="6"/>
  <c r="P278" i="6"/>
  <c r="P277" i="6"/>
  <c r="P276" i="6"/>
  <c r="P275" i="6"/>
  <c r="P274" i="6"/>
  <c r="P273" i="6"/>
  <c r="P272" i="6"/>
  <c r="P271" i="6"/>
  <c r="P270" i="6"/>
  <c r="P269" i="6"/>
  <c r="P268" i="6"/>
  <c r="P267" i="6"/>
  <c r="P266" i="6"/>
  <c r="P265" i="6"/>
  <c r="P264" i="6"/>
  <c r="P263" i="6"/>
  <c r="P262" i="6"/>
  <c r="P261" i="6"/>
  <c r="P260" i="6"/>
  <c r="P259" i="6"/>
  <c r="P258" i="6"/>
  <c r="P257" i="6"/>
  <c r="O282" i="6"/>
  <c r="O281" i="6"/>
  <c r="O280" i="6"/>
  <c r="O279" i="6"/>
  <c r="O278" i="6"/>
  <c r="O277" i="6"/>
  <c r="O276" i="6"/>
  <c r="O275" i="6"/>
  <c r="O274" i="6"/>
  <c r="O273" i="6"/>
  <c r="O272" i="6"/>
  <c r="O271" i="6"/>
  <c r="O270" i="6"/>
  <c r="O269" i="6"/>
  <c r="O268" i="6"/>
  <c r="O267" i="6"/>
  <c r="O266" i="6"/>
  <c r="O265" i="6"/>
  <c r="O264" i="6"/>
  <c r="O263" i="6"/>
  <c r="O262" i="6"/>
  <c r="O261" i="6"/>
  <c r="O260" i="6"/>
  <c r="O259" i="6"/>
  <c r="O258" i="6"/>
  <c r="O285" i="6"/>
  <c r="O284" i="6"/>
  <c r="O283" i="6"/>
  <c r="I164" i="16"/>
  <c r="I163" i="16"/>
  <c r="I162" i="16"/>
  <c r="G56" i="11"/>
  <c r="J56" i="11"/>
  <c r="N7" i="11"/>
  <c r="N8" i="11"/>
  <c r="G11" i="15"/>
  <c r="G12" i="15" s="1"/>
  <c r="G14" i="15" s="1"/>
  <c r="G17" i="15" s="1"/>
  <c r="E11" i="15"/>
  <c r="E12" i="15" s="1"/>
  <c r="E14" i="15" s="1"/>
  <c r="E16" i="15" s="1"/>
  <c r="G26" i="15"/>
  <c r="G28" i="15" s="1"/>
  <c r="G29" i="15" s="1"/>
  <c r="G55" i="11"/>
  <c r="J55" i="11"/>
  <c r="G54" i="11"/>
  <c r="J54" i="11"/>
  <c r="G53" i="11"/>
  <c r="J53" i="11"/>
  <c r="G52" i="11"/>
  <c r="J52" i="11"/>
  <c r="G51" i="11"/>
  <c r="J51" i="11"/>
  <c r="G50" i="11"/>
  <c r="J50" i="11"/>
  <c r="G49" i="11"/>
  <c r="J49" i="11"/>
  <c r="G48" i="11"/>
  <c r="J48" i="11"/>
  <c r="G47" i="11"/>
  <c r="J47" i="11"/>
  <c r="G46" i="11"/>
  <c r="J46" i="11"/>
  <c r="G45" i="11"/>
  <c r="J45" i="11"/>
  <c r="G44" i="11"/>
  <c r="J44" i="11"/>
  <c r="G43" i="11"/>
  <c r="J43" i="11"/>
  <c r="G42" i="11"/>
  <c r="J42" i="11"/>
  <c r="G41" i="11"/>
  <c r="J41" i="11"/>
  <c r="G40" i="11"/>
  <c r="J40" i="11"/>
  <c r="G39" i="11"/>
  <c r="J39" i="11"/>
  <c r="G38" i="11"/>
  <c r="J38" i="11"/>
  <c r="G37" i="11"/>
  <c r="J37" i="11"/>
  <c r="G36" i="11"/>
  <c r="J36" i="11"/>
  <c r="G35" i="11"/>
  <c r="J35" i="11"/>
  <c r="G34" i="11"/>
  <c r="J34" i="11"/>
  <c r="G33" i="11"/>
  <c r="J33" i="11"/>
  <c r="G32" i="11"/>
  <c r="J32" i="11"/>
  <c r="G31" i="11"/>
  <c r="J31" i="11"/>
  <c r="G30" i="11"/>
  <c r="J30" i="11"/>
  <c r="G29" i="11"/>
  <c r="J29" i="11"/>
  <c r="G28" i="11"/>
  <c r="J28" i="11"/>
  <c r="G26" i="11"/>
  <c r="J26" i="11"/>
  <c r="G25" i="11"/>
  <c r="J25" i="11"/>
  <c r="G24" i="11"/>
  <c r="J24" i="11"/>
  <c r="G23" i="11"/>
  <c r="J23" i="11"/>
  <c r="G22" i="11"/>
  <c r="J22" i="11"/>
  <c r="G21" i="11"/>
  <c r="J21" i="11"/>
  <c r="G20" i="11"/>
  <c r="J20" i="11"/>
  <c r="G19" i="11"/>
  <c r="J19" i="11"/>
  <c r="G18" i="11"/>
  <c r="J18" i="11"/>
  <c r="G17" i="11"/>
  <c r="J17" i="11"/>
  <c r="G16" i="11"/>
  <c r="J16" i="11"/>
  <c r="G15" i="11"/>
  <c r="J15" i="11"/>
  <c r="G14" i="11"/>
  <c r="J14" i="11"/>
  <c r="G13" i="11"/>
  <c r="J13" i="11"/>
  <c r="J12" i="11"/>
  <c r="L12" i="11"/>
  <c r="G27" i="11"/>
  <c r="J27" i="11"/>
  <c r="G111" i="11"/>
  <c r="C110" i="11"/>
  <c r="C109" i="11"/>
  <c r="C108" i="11"/>
  <c r="C107" i="11"/>
  <c r="C106" i="11"/>
  <c r="C105" i="11"/>
  <c r="C104" i="11"/>
  <c r="C103" i="11"/>
  <c r="C102" i="11"/>
  <c r="C101" i="11"/>
  <c r="C100" i="11"/>
  <c r="C99" i="11"/>
  <c r="C98" i="11"/>
  <c r="C97" i="11"/>
  <c r="C96" i="11"/>
  <c r="C95" i="11"/>
  <c r="C94" i="11"/>
  <c r="C93" i="11"/>
  <c r="C92" i="11"/>
  <c r="C91" i="11"/>
  <c r="C90" i="11"/>
  <c r="C89" i="11"/>
  <c r="C88" i="11"/>
  <c r="C87" i="11"/>
  <c r="C86" i="11"/>
  <c r="C85" i="11"/>
  <c r="C84" i="11"/>
  <c r="C83" i="11"/>
  <c r="C82" i="11"/>
  <c r="C81" i="11"/>
  <c r="C80" i="11"/>
  <c r="C79" i="11"/>
  <c r="C78" i="11"/>
  <c r="C77" i="11"/>
  <c r="C76" i="11"/>
  <c r="C75" i="11"/>
  <c r="C74" i="11"/>
  <c r="C73" i="11"/>
  <c r="C72" i="11"/>
  <c r="C71" i="11"/>
  <c r="C70" i="11"/>
  <c r="C69" i="11"/>
  <c r="C68" i="11"/>
  <c r="C67" i="11"/>
  <c r="C66" i="11"/>
  <c r="N291" i="6"/>
  <c r="N289" i="6"/>
  <c r="N288" i="6"/>
  <c r="N287" i="6"/>
  <c r="N286" i="6"/>
  <c r="N285" i="6"/>
  <c r="N284" i="6"/>
  <c r="N283" i="6"/>
  <c r="N282" i="6"/>
  <c r="N281" i="6"/>
  <c r="N280" i="6"/>
  <c r="N279" i="6"/>
  <c r="N278" i="6"/>
  <c r="N277" i="6"/>
  <c r="N276" i="6"/>
  <c r="N275" i="6"/>
  <c r="N274" i="6"/>
  <c r="N273" i="6"/>
  <c r="N272" i="6"/>
  <c r="N271" i="6"/>
  <c r="N270" i="6"/>
  <c r="N269" i="6"/>
  <c r="N268" i="6"/>
  <c r="N267" i="6"/>
  <c r="N266" i="6"/>
  <c r="N265" i="6"/>
  <c r="N264" i="6"/>
  <c r="N263" i="6"/>
  <c r="N262" i="6"/>
  <c r="N261" i="6"/>
  <c r="N260" i="6"/>
  <c r="N259" i="6"/>
  <c r="N258" i="6"/>
  <c r="O291" i="6"/>
  <c r="O289" i="6"/>
  <c r="O288" i="6"/>
  <c r="O287" i="6"/>
  <c r="O286" i="6"/>
  <c r="L1" i="11"/>
  <c r="L59" i="11" s="1"/>
  <c r="K4" i="11"/>
  <c r="K62" i="11" s="1"/>
  <c r="B4" i="11"/>
  <c r="B62" i="11" s="1"/>
  <c r="L123" i="9"/>
  <c r="L122" i="9"/>
  <c r="L121" i="9"/>
  <c r="L120" i="9"/>
  <c r="L119" i="9"/>
  <c r="B72" i="3"/>
  <c r="B71" i="3"/>
  <c r="B68" i="3"/>
  <c r="L57" i="16"/>
  <c r="L55" i="16"/>
  <c r="J167" i="2"/>
  <c r="B77" i="3" s="1"/>
  <c r="C82" i="3" s="1"/>
  <c r="J4" i="9"/>
  <c r="J113" i="9" s="1"/>
  <c r="B4" i="9"/>
  <c r="B57" i="9" s="1"/>
  <c r="D86" i="2"/>
  <c r="K205" i="16"/>
  <c r="K204" i="16"/>
  <c r="K203" i="16"/>
  <c r="K202" i="16"/>
  <c r="K199" i="16"/>
  <c r="K198" i="16"/>
  <c r="K197" i="16"/>
  <c r="K196" i="16"/>
  <c r="K195" i="16"/>
  <c r="E8" i="16"/>
  <c r="C55" i="16" s="1"/>
  <c r="I8" i="16"/>
  <c r="M8" i="16"/>
  <c r="C168" i="3"/>
  <c r="J11" i="16"/>
  <c r="C166" i="3"/>
  <c r="J13" i="16"/>
  <c r="M16" i="16"/>
  <c r="K17" i="16"/>
  <c r="A24" i="16"/>
  <c r="D24" i="16"/>
  <c r="A26" i="16"/>
  <c r="I26" i="16"/>
  <c r="J26" i="16"/>
  <c r="K29" i="16"/>
  <c r="E6" i="3"/>
  <c r="E86" i="2"/>
  <c r="F86" i="2"/>
  <c r="G86" i="2"/>
  <c r="H86" i="2"/>
  <c r="D124" i="16"/>
  <c r="B221" i="16"/>
  <c r="F23" i="15"/>
  <c r="D21" i="15"/>
  <c r="D16" i="15"/>
  <c r="A8" i="15"/>
  <c r="D8" i="15" s="1"/>
  <c r="D7" i="15"/>
  <c r="G2" i="15"/>
  <c r="B4" i="15"/>
  <c r="G4" i="15"/>
  <c r="F18" i="15"/>
  <c r="A19" i="15"/>
  <c r="A20" i="15" s="1"/>
  <c r="F20" i="15" s="1"/>
  <c r="F24" i="15"/>
  <c r="A25" i="15"/>
  <c r="A26" i="15" s="1"/>
  <c r="A27" i="15" s="1"/>
  <c r="F36" i="15"/>
  <c r="F267" i="3"/>
  <c r="A43" i="9"/>
  <c r="A51" i="9" s="1"/>
  <c r="C152" i="3"/>
  <c r="J123" i="2"/>
  <c r="H2" i="12"/>
  <c r="H4" i="12"/>
  <c r="B4" i="12"/>
  <c r="D5" i="12"/>
  <c r="A22" i="7"/>
  <c r="A23" i="7" s="1"/>
  <c r="A24" i="7" s="1"/>
  <c r="G5" i="12"/>
  <c r="A6" i="12"/>
  <c r="A7" i="12" s="1"/>
  <c r="G30" i="12"/>
  <c r="M291" i="6"/>
  <c r="M289" i="6"/>
  <c r="M288" i="6"/>
  <c r="M287" i="6"/>
  <c r="M286" i="6"/>
  <c r="M285" i="6"/>
  <c r="M284" i="6"/>
  <c r="M283" i="6"/>
  <c r="M282" i="6"/>
  <c r="M281" i="6"/>
  <c r="M280" i="6"/>
  <c r="M279" i="6"/>
  <c r="M278" i="6"/>
  <c r="M277" i="6"/>
  <c r="M276" i="6"/>
  <c r="M275" i="6"/>
  <c r="M274" i="6"/>
  <c r="M273" i="6"/>
  <c r="M272" i="6"/>
  <c r="M271" i="6"/>
  <c r="M270" i="6"/>
  <c r="M269" i="6"/>
  <c r="M268" i="6"/>
  <c r="M267" i="6"/>
  <c r="M266" i="6"/>
  <c r="M265" i="6"/>
  <c r="M264" i="6"/>
  <c r="M263" i="6"/>
  <c r="M262" i="6"/>
  <c r="M261" i="6"/>
  <c r="M260" i="6"/>
  <c r="M259" i="6"/>
  <c r="M258" i="6"/>
  <c r="L291" i="6"/>
  <c r="L289" i="6"/>
  <c r="L288" i="6"/>
  <c r="L287" i="6"/>
  <c r="L286" i="6"/>
  <c r="L285" i="6"/>
  <c r="L284" i="6"/>
  <c r="L283" i="6"/>
  <c r="L282" i="6"/>
  <c r="L281" i="6"/>
  <c r="L280" i="6"/>
  <c r="L279" i="6"/>
  <c r="L278" i="6"/>
  <c r="L277" i="6"/>
  <c r="L276" i="6"/>
  <c r="L275" i="6"/>
  <c r="L274" i="6"/>
  <c r="L273" i="6"/>
  <c r="L272" i="6"/>
  <c r="L271" i="6"/>
  <c r="L270" i="6"/>
  <c r="L269" i="6"/>
  <c r="L268" i="6"/>
  <c r="L267" i="6"/>
  <c r="L266" i="6"/>
  <c r="L265" i="6"/>
  <c r="L264" i="6"/>
  <c r="L263" i="6"/>
  <c r="L262" i="6"/>
  <c r="L261" i="6"/>
  <c r="L260" i="6"/>
  <c r="L259" i="6"/>
  <c r="L258" i="6"/>
  <c r="B221" i="3"/>
  <c r="B222" i="3"/>
  <c r="B223" i="3"/>
  <c r="B224" i="3"/>
  <c r="D68" i="8"/>
  <c r="D67" i="8"/>
  <c r="D66" i="8"/>
  <c r="D65" i="8"/>
  <c r="D64" i="8"/>
  <c r="K291" i="6"/>
  <c r="K289" i="6"/>
  <c r="K288" i="6"/>
  <c r="K287" i="6"/>
  <c r="K286" i="6"/>
  <c r="K285" i="6"/>
  <c r="K284" i="6"/>
  <c r="K283" i="6"/>
  <c r="K282" i="6"/>
  <c r="K281" i="6"/>
  <c r="K280" i="6"/>
  <c r="K279" i="6"/>
  <c r="K278" i="6"/>
  <c r="K277" i="6"/>
  <c r="K276" i="6"/>
  <c r="K275" i="6"/>
  <c r="K274" i="6"/>
  <c r="K273" i="6"/>
  <c r="K272" i="6"/>
  <c r="K271" i="6"/>
  <c r="K270" i="6"/>
  <c r="K269" i="6"/>
  <c r="K268" i="6"/>
  <c r="K267" i="6"/>
  <c r="K266" i="6"/>
  <c r="K265" i="6"/>
  <c r="K264" i="6"/>
  <c r="K263" i="6"/>
  <c r="K262" i="6"/>
  <c r="K261" i="6"/>
  <c r="K260" i="6"/>
  <c r="K259" i="6"/>
  <c r="K258" i="6"/>
  <c r="D143" i="2"/>
  <c r="B184" i="3" s="1"/>
  <c r="B241" i="3"/>
  <c r="B240" i="3"/>
  <c r="B239" i="3"/>
  <c r="B238" i="3"/>
  <c r="B237" i="3"/>
  <c r="B176" i="3"/>
  <c r="C176" i="3" s="1"/>
  <c r="C178" i="3" s="1"/>
  <c r="B234" i="3"/>
  <c r="B233" i="3"/>
  <c r="B232" i="3"/>
  <c r="B231" i="3"/>
  <c r="B230" i="3"/>
  <c r="H43" i="2"/>
  <c r="H44" i="2" s="1"/>
  <c r="H45" i="2"/>
  <c r="H46" i="2" s="1"/>
  <c r="H47" i="2" s="1"/>
  <c r="H48" i="2" s="1"/>
  <c r="H49" i="2" s="1"/>
  <c r="H50" i="2" s="1"/>
  <c r="H53" i="2" s="1"/>
  <c r="H54" i="2" s="1"/>
  <c r="H55" i="2" s="1"/>
  <c r="H56" i="2" s="1"/>
  <c r="H57" i="2" s="1"/>
  <c r="H58" i="2" s="1"/>
  <c r="H59" i="2" s="1"/>
  <c r="H60" i="2" s="1"/>
  <c r="H61" i="2" s="1"/>
  <c r="H62" i="2" s="1"/>
  <c r="H63" i="2" s="1"/>
  <c r="D146" i="2"/>
  <c r="B187" i="3" s="1"/>
  <c r="C187" i="3"/>
  <c r="D145" i="2"/>
  <c r="B186" i="3" s="1"/>
  <c r="C186" i="3"/>
  <c r="D144" i="2"/>
  <c r="C185" i="3"/>
  <c r="C184" i="3"/>
  <c r="D142" i="2"/>
  <c r="C183" i="3"/>
  <c r="B190" i="3"/>
  <c r="J87" i="2"/>
  <c r="C173" i="3" s="1"/>
  <c r="B173" i="3" s="1"/>
  <c r="J88" i="2"/>
  <c r="F204" i="3"/>
  <c r="E204" i="3"/>
  <c r="B65" i="3"/>
  <c r="B64" i="3"/>
  <c r="H139" i="2"/>
  <c r="D123" i="9"/>
  <c r="D122" i="9"/>
  <c r="D121" i="9"/>
  <c r="D120" i="9"/>
  <c r="D119" i="9"/>
  <c r="A123" i="9"/>
  <c r="A122" i="9"/>
  <c r="A121" i="9"/>
  <c r="A120" i="9"/>
  <c r="A119" i="9"/>
  <c r="F123" i="9"/>
  <c r="F122" i="9"/>
  <c r="F121" i="9"/>
  <c r="F120" i="9"/>
  <c r="F119" i="9"/>
  <c r="I123" i="9"/>
  <c r="G123" i="9"/>
  <c r="I122" i="9"/>
  <c r="G122" i="9"/>
  <c r="I121" i="9"/>
  <c r="G121" i="9"/>
  <c r="I120" i="9"/>
  <c r="G120" i="9"/>
  <c r="I119" i="9"/>
  <c r="G119" i="9"/>
  <c r="J84" i="2"/>
  <c r="J85" i="2"/>
  <c r="A62" i="9"/>
  <c r="A1" i="4"/>
  <c r="H118" i="2"/>
  <c r="G6" i="7" s="1"/>
  <c r="G118" i="2"/>
  <c r="F6" i="7" s="1"/>
  <c r="F118" i="2"/>
  <c r="E6" i="7" s="1"/>
  <c r="E118" i="2"/>
  <c r="D6" i="7" s="1"/>
  <c r="D118" i="2"/>
  <c r="C6" i="7" s="1"/>
  <c r="H98" i="2"/>
  <c r="G98" i="2"/>
  <c r="F7" i="28" s="1"/>
  <c r="F98" i="2"/>
  <c r="E98" i="2"/>
  <c r="D98" i="2"/>
  <c r="B54" i="2"/>
  <c r="J121" i="2"/>
  <c r="J119" i="2"/>
  <c r="J120" i="2"/>
  <c r="J122" i="2"/>
  <c r="J41" i="9"/>
  <c r="D15" i="9"/>
  <c r="D14" i="9"/>
  <c r="D13" i="9"/>
  <c r="D12" i="9"/>
  <c r="E15" i="9"/>
  <c r="E14" i="9"/>
  <c r="E13" i="9"/>
  <c r="E12" i="9"/>
  <c r="F15" i="9"/>
  <c r="F14" i="9"/>
  <c r="F13" i="9"/>
  <c r="G15" i="9"/>
  <c r="I15" i="9"/>
  <c r="G14" i="9"/>
  <c r="I14" i="9"/>
  <c r="G13" i="9"/>
  <c r="I13" i="9"/>
  <c r="A5" i="8"/>
  <c r="A6" i="8" s="1"/>
  <c r="A7" i="8" s="1"/>
  <c r="A8" i="8" s="1"/>
  <c r="A9" i="8" s="1"/>
  <c r="A10" i="8" s="1"/>
  <c r="A11" i="8" s="1"/>
  <c r="A12" i="8" s="1"/>
  <c r="A13" i="8" s="1"/>
  <c r="A14" i="8" s="1"/>
  <c r="A15" i="8" s="1"/>
  <c r="A16" i="8" s="1"/>
  <c r="A17" i="8" s="1"/>
  <c r="A18" i="8" s="1"/>
  <c r="A19" i="8" s="1"/>
  <c r="A20" i="8" s="1"/>
  <c r="A21" i="8" s="1"/>
  <c r="A22" i="8" s="1"/>
  <c r="A23" i="8" s="1"/>
  <c r="A24" i="8" s="1"/>
  <c r="B125" i="2"/>
  <c r="A42" i="9"/>
  <c r="A50" i="9" s="1"/>
  <c r="A41" i="9"/>
  <c r="A49" i="9" s="1"/>
  <c r="A40" i="9"/>
  <c r="A48" i="9" s="1"/>
  <c r="A39" i="9"/>
  <c r="A47" i="9" s="1"/>
  <c r="J61" i="9"/>
  <c r="D259" i="6"/>
  <c r="D260" i="6" s="1"/>
  <c r="D261" i="6" s="1"/>
  <c r="D262" i="6" s="1"/>
  <c r="D263" i="6" s="1"/>
  <c r="D264" i="6" s="1"/>
  <c r="D265" i="6" s="1"/>
  <c r="D266" i="6" s="1"/>
  <c r="D267" i="6" s="1"/>
  <c r="D268" i="6" s="1"/>
  <c r="D269" i="6" s="1"/>
  <c r="D270" i="6" s="1"/>
  <c r="D271" i="6" s="1"/>
  <c r="D272" i="6" s="1"/>
  <c r="D273" i="6" s="1"/>
  <c r="D274" i="6" s="1"/>
  <c r="D275" i="6" s="1"/>
  <c r="D276" i="6" s="1"/>
  <c r="D277" i="6" s="1"/>
  <c r="D278" i="6" s="1"/>
  <c r="D279" i="6" s="1"/>
  <c r="D223" i="6"/>
  <c r="D224" i="6" s="1"/>
  <c r="D225" i="6" s="1"/>
  <c r="D226" i="6" s="1"/>
  <c r="D227" i="6" s="1"/>
  <c r="D228" i="6"/>
  <c r="D229" i="6" s="1"/>
  <c r="D230" i="6" s="1"/>
  <c r="D231" i="6" s="1"/>
  <c r="D232" i="6" s="1"/>
  <c r="D233" i="6" s="1"/>
  <c r="D234" i="6" s="1"/>
  <c r="D235" i="6" s="1"/>
  <c r="D236" i="6" s="1"/>
  <c r="D237" i="6" s="1"/>
  <c r="D238" i="6" s="1"/>
  <c r="D239" i="6" s="1"/>
  <c r="D240" i="6" s="1"/>
  <c r="D241" i="6" s="1"/>
  <c r="D242" i="6" s="1"/>
  <c r="D243" i="6" s="1"/>
  <c r="D244" i="6" s="1"/>
  <c r="D245" i="6" s="1"/>
  <c r="D246" i="6" s="1"/>
  <c r="D247" i="6" s="1"/>
  <c r="D248" i="6" s="1"/>
  <c r="D249" i="6" s="1"/>
  <c r="D250" i="6" s="1"/>
  <c r="D251" i="6" s="1"/>
  <c r="D252" i="6" s="1"/>
  <c r="D253" i="6" s="1"/>
  <c r="D254" i="6" s="1"/>
  <c r="D255" i="6" s="1"/>
  <c r="D187" i="6"/>
  <c r="D188" i="6" s="1"/>
  <c r="D189" i="6" s="1"/>
  <c r="D190" i="6" s="1"/>
  <c r="D191" i="6" s="1"/>
  <c r="D192" i="6" s="1"/>
  <c r="D193" i="6" s="1"/>
  <c r="D194" i="6" s="1"/>
  <c r="D195" i="6" s="1"/>
  <c r="D196" i="6" s="1"/>
  <c r="D197" i="6" s="1"/>
  <c r="D198" i="6" s="1"/>
  <c r="D199" i="6" s="1"/>
  <c r="D200" i="6" s="1"/>
  <c r="D201" i="6" s="1"/>
  <c r="D202" i="6" s="1"/>
  <c r="D203" i="6" s="1"/>
  <c r="D204" i="6" s="1"/>
  <c r="D205" i="6" s="1"/>
  <c r="D206" i="6" s="1"/>
  <c r="D207" i="6" s="1"/>
  <c r="D208" i="6" s="1"/>
  <c r="D209" i="6" s="1"/>
  <c r="D210" i="6" s="1"/>
  <c r="D211" i="6" s="1"/>
  <c r="D212" i="6" s="1"/>
  <c r="D213" i="6" s="1"/>
  <c r="D214" i="6" s="1"/>
  <c r="D215" i="6" s="1"/>
  <c r="D216" i="6" s="1"/>
  <c r="D217" i="6" s="1"/>
  <c r="D218" i="6" s="1"/>
  <c r="D219" i="6" s="1"/>
  <c r="D151" i="6"/>
  <c r="D152" i="6" s="1"/>
  <c r="D153" i="6" s="1"/>
  <c r="D154" i="6" s="1"/>
  <c r="D155" i="6" s="1"/>
  <c r="D156" i="6" s="1"/>
  <c r="D157" i="6" s="1"/>
  <c r="D158" i="6" s="1"/>
  <c r="D159" i="6" s="1"/>
  <c r="D160" i="6" s="1"/>
  <c r="D161" i="6" s="1"/>
  <c r="D162" i="6" s="1"/>
  <c r="D163" i="6" s="1"/>
  <c r="D164" i="6" s="1"/>
  <c r="D165" i="6" s="1"/>
  <c r="D166" i="6" s="1"/>
  <c r="D167" i="6" s="1"/>
  <c r="D168" i="6" s="1"/>
  <c r="D169" i="6" s="1"/>
  <c r="D170" i="6" s="1"/>
  <c r="D171" i="6" s="1"/>
  <c r="D172" i="6" s="1"/>
  <c r="D173" i="6" s="1"/>
  <c r="D174" i="6" s="1"/>
  <c r="D175" i="6" s="1"/>
  <c r="D176" i="6" s="1"/>
  <c r="D177" i="6" s="1"/>
  <c r="D178" i="6" s="1"/>
  <c r="D179" i="6" s="1"/>
  <c r="D180" i="6" s="1"/>
  <c r="D181" i="6" s="1"/>
  <c r="D182" i="6" s="1"/>
  <c r="D183" i="6" s="1"/>
  <c r="D115" i="6"/>
  <c r="D116" i="6" s="1"/>
  <c r="D117" i="6" s="1"/>
  <c r="D118" i="6" s="1"/>
  <c r="D119" i="6" s="1"/>
  <c r="D120" i="6" s="1"/>
  <c r="D121" i="6" s="1"/>
  <c r="D122" i="6" s="1"/>
  <c r="D123" i="6" s="1"/>
  <c r="D124" i="6" s="1"/>
  <c r="D125" i="6" s="1"/>
  <c r="D126" i="6" s="1"/>
  <c r="D127" i="6" s="1"/>
  <c r="D128" i="6" s="1"/>
  <c r="D129" i="6" s="1"/>
  <c r="D130" i="6" s="1"/>
  <c r="D131" i="6" s="1"/>
  <c r="D132" i="6" s="1"/>
  <c r="D133" i="6" s="1"/>
  <c r="D134" i="6" s="1"/>
  <c r="D135" i="6" s="1"/>
  <c r="D136" i="6" s="1"/>
  <c r="D137" i="6" s="1"/>
  <c r="D138" i="6" s="1"/>
  <c r="D139" i="6" s="1"/>
  <c r="D140" i="6" s="1"/>
  <c r="D141" i="6" s="1"/>
  <c r="D142" i="6" s="1"/>
  <c r="D143" i="6" s="1"/>
  <c r="D144" i="6" s="1"/>
  <c r="D145" i="6" s="1"/>
  <c r="D146" i="6" s="1"/>
  <c r="D147" i="6" s="1"/>
  <c r="D79" i="6"/>
  <c r="D80" i="6" s="1"/>
  <c r="D81" i="6" s="1"/>
  <c r="D82" i="6" s="1"/>
  <c r="D83" i="6" s="1"/>
  <c r="D84" i="6" s="1"/>
  <c r="D85" i="6" s="1"/>
  <c r="D86" i="6" s="1"/>
  <c r="D87" i="6" s="1"/>
  <c r="D88" i="6" s="1"/>
  <c r="D89" i="6" s="1"/>
  <c r="D90" i="6" s="1"/>
  <c r="D91" i="6" s="1"/>
  <c r="D92" i="6" s="1"/>
  <c r="D93" i="6" s="1"/>
  <c r="D94" i="6" s="1"/>
  <c r="D95" i="6" s="1"/>
  <c r="D96" i="6" s="1"/>
  <c r="D97" i="6" s="1"/>
  <c r="D98" i="6" s="1"/>
  <c r="D99" i="6" s="1"/>
  <c r="D100" i="6" s="1"/>
  <c r="D101" i="6" s="1"/>
  <c r="D102" i="6" s="1"/>
  <c r="D103" i="6" s="1"/>
  <c r="D104" i="6" s="1"/>
  <c r="D105" i="6" s="1"/>
  <c r="D106" i="6" s="1"/>
  <c r="D107" i="6" s="1"/>
  <c r="D108" i="6" s="1"/>
  <c r="D109" i="6" s="1"/>
  <c r="D110" i="6" s="1"/>
  <c r="D111" i="6" s="1"/>
  <c r="D43" i="6"/>
  <c r="D44" i="6" s="1"/>
  <c r="D45" i="6" s="1"/>
  <c r="D46" i="6" s="1"/>
  <c r="D47" i="6" s="1"/>
  <c r="D48" i="6" s="1"/>
  <c r="D49" i="6" s="1"/>
  <c r="D50" i="6" s="1"/>
  <c r="D51" i="6" s="1"/>
  <c r="D52" i="6" s="1"/>
  <c r="D53" i="6" s="1"/>
  <c r="D54" i="6" s="1"/>
  <c r="D55" i="6" s="1"/>
  <c r="D56" i="6" s="1"/>
  <c r="D57" i="6" s="1"/>
  <c r="D58" i="6" s="1"/>
  <c r="D59" i="6" s="1"/>
  <c r="D60" i="6" s="1"/>
  <c r="D61" i="6" s="1"/>
  <c r="D62" i="6" s="1"/>
  <c r="D63" i="6" s="1"/>
  <c r="D64" i="6" s="1"/>
  <c r="D65" i="6" s="1"/>
  <c r="D66" i="6" s="1"/>
  <c r="D67" i="6" s="1"/>
  <c r="D68" i="6" s="1"/>
  <c r="D69" i="6" s="1"/>
  <c r="D70" i="6" s="1"/>
  <c r="D71" i="6" s="1"/>
  <c r="D72" i="6" s="1"/>
  <c r="D73" i="6" s="1"/>
  <c r="D74" i="6" s="1"/>
  <c r="D75" i="6" s="1"/>
  <c r="D7" i="6"/>
  <c r="D8" i="6" s="1"/>
  <c r="D9" i="6" s="1"/>
  <c r="D10" i="6" s="1"/>
  <c r="D11" i="6" s="1"/>
  <c r="D12" i="6" s="1"/>
  <c r="D13" i="6" s="1"/>
  <c r="D14" i="6" s="1"/>
  <c r="D15" i="6" s="1"/>
  <c r="D16" i="6" s="1"/>
  <c r="D17" i="6" s="1"/>
  <c r="D18" i="6" s="1"/>
  <c r="D19" i="6" s="1"/>
  <c r="D20" i="6" s="1"/>
  <c r="D21" i="6" s="1"/>
  <c r="D22" i="6" s="1"/>
  <c r="D23" i="6" s="1"/>
  <c r="D24" i="6" s="1"/>
  <c r="D25" i="6" s="1"/>
  <c r="D26" i="6" s="1"/>
  <c r="D27" i="6" s="1"/>
  <c r="D28" i="6" s="1"/>
  <c r="D29" i="6" s="1"/>
  <c r="D30" i="6" s="1"/>
  <c r="D31" i="6" s="1"/>
  <c r="D32" i="6" s="1"/>
  <c r="D33" i="6" s="1"/>
  <c r="D34" i="6" s="1"/>
  <c r="D35" i="6" s="1"/>
  <c r="D36" i="6" s="1"/>
  <c r="D37" i="6" s="1"/>
  <c r="D38" i="6" s="1"/>
  <c r="D39" i="6" s="1"/>
  <c r="J283" i="6"/>
  <c r="I283" i="6"/>
  <c r="H283" i="6"/>
  <c r="G283" i="6"/>
  <c r="F283" i="6"/>
  <c r="E283" i="6"/>
  <c r="J21" i="7"/>
  <c r="B3" i="3"/>
  <c r="C3" i="3" s="1"/>
  <c r="B4" i="3"/>
  <c r="C4" i="3" s="1"/>
  <c r="C3" i="6"/>
  <c r="J291" i="6"/>
  <c r="I291" i="6"/>
  <c r="H291" i="6"/>
  <c r="G291" i="6"/>
  <c r="F291" i="6"/>
  <c r="E291" i="6"/>
  <c r="J289" i="6"/>
  <c r="I289" i="6"/>
  <c r="H289" i="6"/>
  <c r="G289" i="6"/>
  <c r="F289" i="6"/>
  <c r="E289" i="6"/>
  <c r="J288" i="6"/>
  <c r="I288" i="6"/>
  <c r="H288" i="6"/>
  <c r="G288" i="6"/>
  <c r="F288" i="6"/>
  <c r="E288" i="6"/>
  <c r="J287" i="6"/>
  <c r="I287" i="6"/>
  <c r="H287" i="6"/>
  <c r="G287" i="6"/>
  <c r="F287" i="6"/>
  <c r="E287" i="6"/>
  <c r="J286" i="6"/>
  <c r="I286" i="6"/>
  <c r="H286" i="6"/>
  <c r="G286" i="6"/>
  <c r="F286" i="6"/>
  <c r="E286" i="6"/>
  <c r="J285" i="6"/>
  <c r="I285" i="6"/>
  <c r="H285" i="6"/>
  <c r="G285" i="6"/>
  <c r="F285" i="6"/>
  <c r="E285" i="6"/>
  <c r="J284" i="6"/>
  <c r="I284" i="6"/>
  <c r="H284" i="6"/>
  <c r="G284" i="6"/>
  <c r="F284" i="6"/>
  <c r="E284" i="6"/>
  <c r="J282" i="6"/>
  <c r="I282" i="6"/>
  <c r="H282" i="6"/>
  <c r="G282" i="6"/>
  <c r="F282" i="6"/>
  <c r="E282" i="6"/>
  <c r="J281" i="6"/>
  <c r="I281" i="6"/>
  <c r="H281" i="6"/>
  <c r="G281" i="6"/>
  <c r="F281" i="6"/>
  <c r="E281" i="6"/>
  <c r="J280" i="6"/>
  <c r="I280" i="6"/>
  <c r="H280" i="6"/>
  <c r="G280" i="6"/>
  <c r="F280" i="6"/>
  <c r="E280" i="6"/>
  <c r="J279" i="6"/>
  <c r="I279" i="6"/>
  <c r="H279" i="6"/>
  <c r="G279" i="6"/>
  <c r="F279" i="6"/>
  <c r="E279" i="6"/>
  <c r="J278" i="6"/>
  <c r="I278" i="6"/>
  <c r="H278" i="6"/>
  <c r="G278" i="6"/>
  <c r="F278" i="6"/>
  <c r="E278" i="6"/>
  <c r="J277" i="6"/>
  <c r="I277" i="6"/>
  <c r="H277" i="6"/>
  <c r="G277" i="6"/>
  <c r="F277" i="6"/>
  <c r="E277" i="6"/>
  <c r="J276" i="6"/>
  <c r="I276" i="6"/>
  <c r="H276" i="6"/>
  <c r="G276" i="6"/>
  <c r="F276" i="6"/>
  <c r="E276" i="6"/>
  <c r="J275" i="6"/>
  <c r="I275" i="6"/>
  <c r="H275" i="6"/>
  <c r="G275" i="6"/>
  <c r="F275" i="6"/>
  <c r="E275" i="6"/>
  <c r="J274" i="6"/>
  <c r="I274" i="6"/>
  <c r="H274" i="6"/>
  <c r="G274" i="6"/>
  <c r="F274" i="6"/>
  <c r="E274" i="6"/>
  <c r="J273" i="6"/>
  <c r="I273" i="6"/>
  <c r="H273" i="6"/>
  <c r="G273" i="6"/>
  <c r="F273" i="6"/>
  <c r="E273" i="6"/>
  <c r="J272" i="6"/>
  <c r="I272" i="6"/>
  <c r="H272" i="6"/>
  <c r="G272" i="6"/>
  <c r="F272" i="6"/>
  <c r="E272" i="6"/>
  <c r="J271" i="6"/>
  <c r="I271" i="6"/>
  <c r="H271" i="6"/>
  <c r="G271" i="6"/>
  <c r="F271" i="6"/>
  <c r="E271" i="6"/>
  <c r="J270" i="6"/>
  <c r="I270" i="6"/>
  <c r="H270" i="6"/>
  <c r="G270" i="6"/>
  <c r="F270" i="6"/>
  <c r="E270" i="6"/>
  <c r="J269" i="6"/>
  <c r="I269" i="6"/>
  <c r="H269" i="6"/>
  <c r="G269" i="6"/>
  <c r="F269" i="6"/>
  <c r="E269" i="6"/>
  <c r="J268" i="6"/>
  <c r="I268" i="6"/>
  <c r="H268" i="6"/>
  <c r="G268" i="6"/>
  <c r="F268" i="6"/>
  <c r="E268" i="6"/>
  <c r="J267" i="6"/>
  <c r="I267" i="6"/>
  <c r="H267" i="6"/>
  <c r="G267" i="6"/>
  <c r="F267" i="6"/>
  <c r="E267" i="6"/>
  <c r="J266" i="6"/>
  <c r="I266" i="6"/>
  <c r="H266" i="6"/>
  <c r="G266" i="6"/>
  <c r="F266" i="6"/>
  <c r="E266" i="6"/>
  <c r="J265" i="6"/>
  <c r="I265" i="6"/>
  <c r="H265" i="6"/>
  <c r="G265" i="6"/>
  <c r="F265" i="6"/>
  <c r="E265" i="6"/>
  <c r="J264" i="6"/>
  <c r="I264" i="6"/>
  <c r="H264" i="6"/>
  <c r="G264" i="6"/>
  <c r="F264" i="6"/>
  <c r="E264" i="6"/>
  <c r="J263" i="6"/>
  <c r="I263" i="6"/>
  <c r="H263" i="6"/>
  <c r="G263" i="6"/>
  <c r="F263" i="6"/>
  <c r="E263" i="6"/>
  <c r="J262" i="6"/>
  <c r="I262" i="6"/>
  <c r="H262" i="6"/>
  <c r="G262" i="6"/>
  <c r="F262" i="6"/>
  <c r="E262" i="6"/>
  <c r="J261" i="6"/>
  <c r="I261" i="6"/>
  <c r="H261" i="6"/>
  <c r="G261" i="6"/>
  <c r="F261" i="6"/>
  <c r="E261" i="6"/>
  <c r="J260" i="6"/>
  <c r="I260" i="6"/>
  <c r="H260" i="6"/>
  <c r="G260" i="6"/>
  <c r="F260" i="6"/>
  <c r="E260" i="6"/>
  <c r="J259" i="6"/>
  <c r="I259" i="6"/>
  <c r="H259" i="6"/>
  <c r="G259" i="6"/>
  <c r="F259" i="6"/>
  <c r="E259" i="6"/>
  <c r="J258" i="6"/>
  <c r="I258" i="6"/>
  <c r="H258" i="6"/>
  <c r="G258" i="6"/>
  <c r="F258" i="6"/>
  <c r="E258" i="6"/>
  <c r="I20" i="2"/>
  <c r="C116" i="3"/>
  <c r="C118" i="3"/>
  <c r="C119" i="3"/>
  <c r="C122" i="3"/>
  <c r="C124" i="3" s="1"/>
  <c r="G134" i="2"/>
  <c r="B134" i="2" s="1"/>
  <c r="J134" i="2"/>
  <c r="H134" i="2"/>
  <c r="B128" i="2"/>
  <c r="I177" i="2"/>
  <c r="B27" i="3"/>
  <c r="B5" i="3"/>
  <c r="C5" i="3" s="1"/>
  <c r="E102" i="3"/>
  <c r="E101" i="3"/>
  <c r="E100" i="3"/>
  <c r="E94" i="3"/>
  <c r="E93" i="3"/>
  <c r="E92" i="3"/>
  <c r="D101" i="3"/>
  <c r="D102" i="3" s="1"/>
  <c r="I214" i="2"/>
  <c r="I215" i="2" s="1"/>
  <c r="I207" i="2"/>
  <c r="I208" i="2"/>
  <c r="I209" i="2"/>
  <c r="I210" i="2"/>
  <c r="I176" i="2"/>
  <c r="D6" i="12"/>
  <c r="B35" i="14"/>
  <c r="B43" i="14"/>
  <c r="B19" i="14"/>
  <c r="C2" i="3"/>
  <c r="D31" i="12" l="1"/>
  <c r="D32" i="12"/>
  <c r="A33" i="12"/>
  <c r="A34" i="12" s="1"/>
  <c r="A35" i="12" s="1"/>
  <c r="A36" i="12" s="1"/>
  <c r="A37" i="12" s="1"/>
  <c r="F145" i="2"/>
  <c r="F25" i="15"/>
  <c r="G8" i="18"/>
  <c r="H24" i="18" s="1"/>
  <c r="A8" i="12"/>
  <c r="D8" i="12" s="1"/>
  <c r="D7" i="12"/>
  <c r="G7" i="20"/>
  <c r="G7" i="28"/>
  <c r="C7" i="20"/>
  <c r="C7" i="28"/>
  <c r="A19" i="9"/>
  <c r="A21" i="9"/>
  <c r="A9" i="15"/>
  <c r="D9" i="15" s="1"/>
  <c r="D7" i="20"/>
  <c r="D7" i="28"/>
  <c r="F19" i="15"/>
  <c r="G34" i="12"/>
  <c r="E7" i="20"/>
  <c r="E7" i="28"/>
  <c r="G33" i="12"/>
  <c r="H47" i="11"/>
  <c r="M36" i="24"/>
  <c r="M50" i="24"/>
  <c r="M14" i="24"/>
  <c r="M48" i="24"/>
  <c r="M56" i="24"/>
  <c r="M20" i="24"/>
  <c r="M54" i="24"/>
  <c r="M26" i="24"/>
  <c r="M22" i="24"/>
  <c r="M28" i="24"/>
  <c r="M44" i="24"/>
  <c r="M34" i="24"/>
  <c r="M32" i="24"/>
  <c r="M30" i="23"/>
  <c r="M34" i="21"/>
  <c r="M13" i="26"/>
  <c r="M51" i="24"/>
  <c r="M47" i="21"/>
  <c r="M28" i="26"/>
  <c r="M25" i="26"/>
  <c r="M47" i="26"/>
  <c r="M24" i="25"/>
  <c r="M48" i="25"/>
  <c r="M45" i="25"/>
  <c r="M38" i="24"/>
  <c r="M27" i="24"/>
  <c r="M19" i="23"/>
  <c r="M49" i="23"/>
  <c r="M28" i="23"/>
  <c r="M56" i="21"/>
  <c r="M31" i="21"/>
  <c r="M55" i="21"/>
  <c r="M21" i="26"/>
  <c r="M21" i="24"/>
  <c r="M16" i="21"/>
  <c r="M18" i="25"/>
  <c r="M23" i="25"/>
  <c r="M14" i="25"/>
  <c r="M45" i="21"/>
  <c r="M18" i="26"/>
  <c r="M42" i="25"/>
  <c r="M51" i="23"/>
  <c r="M41" i="24"/>
  <c r="M13" i="25"/>
  <c r="M39" i="23"/>
  <c r="M46" i="26"/>
  <c r="M35" i="23"/>
  <c r="M47" i="24"/>
  <c r="M14" i="26"/>
  <c r="M33" i="23"/>
  <c r="M56" i="23"/>
  <c r="M45" i="24"/>
  <c r="M49" i="26"/>
  <c r="M22" i="21"/>
  <c r="M49" i="24"/>
  <c r="M15" i="26"/>
  <c r="M23" i="26"/>
  <c r="M17" i="26"/>
  <c r="M21" i="25"/>
  <c r="M52" i="25"/>
  <c r="M12" i="25"/>
  <c r="M16" i="24"/>
  <c r="M53" i="24"/>
  <c r="M38" i="23"/>
  <c r="M47" i="23"/>
  <c r="M52" i="23"/>
  <c r="M27" i="21"/>
  <c r="M18" i="21"/>
  <c r="M36" i="21"/>
  <c r="M33" i="25"/>
  <c r="M26" i="23"/>
  <c r="M37" i="25"/>
  <c r="M12" i="26"/>
  <c r="M35" i="25"/>
  <c r="M50" i="23"/>
  <c r="M35" i="26"/>
  <c r="M56" i="25"/>
  <c r="M46" i="21"/>
  <c r="M31" i="24"/>
  <c r="M53" i="21"/>
  <c r="M29" i="26"/>
  <c r="M42" i="23"/>
  <c r="M19" i="24"/>
  <c r="M39" i="26"/>
  <c r="M46" i="24"/>
  <c r="M21" i="21"/>
  <c r="M55" i="24"/>
  <c r="M26" i="21"/>
  <c r="M54" i="21"/>
  <c r="M30" i="26"/>
  <c r="M14" i="21"/>
  <c r="M30" i="21"/>
  <c r="M42" i="26"/>
  <c r="M37" i="26"/>
  <c r="M52" i="26"/>
  <c r="M55" i="25"/>
  <c r="M38" i="25"/>
  <c r="M46" i="25"/>
  <c r="M42" i="24"/>
  <c r="M40" i="24"/>
  <c r="M37" i="23"/>
  <c r="M41" i="23"/>
  <c r="M15" i="23"/>
  <c r="M48" i="21"/>
  <c r="M35" i="21"/>
  <c r="M15" i="21"/>
  <c r="M31" i="26"/>
  <c r="M40" i="23"/>
  <c r="M41" i="21"/>
  <c r="M29" i="24"/>
  <c r="M52" i="24"/>
  <c r="M20" i="21"/>
  <c r="M24" i="21"/>
  <c r="M48" i="26"/>
  <c r="M24" i="24"/>
  <c r="M23" i="21"/>
  <c r="M27" i="26"/>
  <c r="M26" i="26"/>
  <c r="M18" i="23"/>
  <c r="M51" i="26"/>
  <c r="M44" i="26"/>
  <c r="M15" i="24"/>
  <c r="M21" i="23"/>
  <c r="M56" i="26"/>
  <c r="M15" i="25"/>
  <c r="M19" i="21"/>
  <c r="M32" i="26"/>
  <c r="M18" i="24"/>
  <c r="M37" i="21"/>
  <c r="M13" i="23"/>
  <c r="M43" i="24"/>
  <c r="M51" i="21"/>
  <c r="M25" i="24"/>
  <c r="M32" i="21"/>
  <c r="M24" i="26"/>
  <c r="M33" i="26"/>
  <c r="M43" i="26"/>
  <c r="M40" i="25"/>
  <c r="M51" i="25"/>
  <c r="M25" i="25"/>
  <c r="M30" i="24"/>
  <c r="M17" i="23"/>
  <c r="M22" i="23"/>
  <c r="M23" i="23"/>
  <c r="M53" i="23"/>
  <c r="M53" i="26"/>
  <c r="M45" i="23"/>
  <c r="M35" i="24"/>
  <c r="M20" i="26"/>
  <c r="M36" i="25"/>
  <c r="M43" i="23"/>
  <c r="M44" i="21"/>
  <c r="M41" i="26"/>
  <c r="M29" i="23"/>
  <c r="M39" i="24"/>
  <c r="M50" i="26"/>
  <c r="M50" i="25"/>
  <c r="M17" i="21"/>
  <c r="M55" i="26"/>
  <c r="M19" i="25"/>
  <c r="M28" i="21"/>
  <c r="M16" i="26"/>
  <c r="M49" i="25"/>
  <c r="M24" i="23"/>
  <c r="M54" i="23"/>
  <c r="M27" i="25"/>
  <c r="M44" i="23"/>
  <c r="M42" i="21"/>
  <c r="M40" i="21"/>
  <c r="M32" i="23"/>
  <c r="M16" i="25"/>
  <c r="M38" i="21"/>
  <c r="M40" i="26"/>
  <c r="M36" i="26"/>
  <c r="M22" i="26"/>
  <c r="M30" i="25"/>
  <c r="M41" i="25"/>
  <c r="M53" i="25"/>
  <c r="M33" i="24"/>
  <c r="M16" i="23"/>
  <c r="M46" i="23"/>
  <c r="M20" i="23"/>
  <c r="M13" i="21"/>
  <c r="M43" i="21"/>
  <c r="M26" i="25"/>
  <c r="M49" i="21"/>
  <c r="M12" i="24"/>
  <c r="M43" i="25"/>
  <c r="M29" i="21"/>
  <c r="M13" i="24"/>
  <c r="M20" i="25"/>
  <c r="M12" i="23"/>
  <c r="M27" i="23"/>
  <c r="M22" i="25"/>
  <c r="M25" i="23"/>
  <c r="M54" i="26"/>
  <c r="M31" i="25"/>
  <c r="M36" i="23"/>
  <c r="M38" i="26"/>
  <c r="M29" i="25"/>
  <c r="M14" i="23"/>
  <c r="M17" i="24"/>
  <c r="M28" i="25"/>
  <c r="M48" i="23"/>
  <c r="M52" i="21"/>
  <c r="M37" i="24"/>
  <c r="M34" i="23"/>
  <c r="M54" i="25"/>
  <c r="M23" i="24"/>
  <c r="M17" i="25"/>
  <c r="M31" i="23"/>
  <c r="M33" i="21"/>
  <c r="M34" i="26"/>
  <c r="M44" i="25"/>
  <c r="M55" i="23"/>
  <c r="M19" i="26"/>
  <c r="M32" i="25"/>
  <c r="M12" i="21"/>
  <c r="M39" i="25"/>
  <c r="M25" i="21"/>
  <c r="M47" i="25"/>
  <c r="M39" i="21"/>
  <c r="M45" i="26"/>
  <c r="M34" i="25"/>
  <c r="M50" i="21"/>
  <c r="G11" i="9"/>
  <c r="G46" i="9" s="1"/>
  <c r="F7" i="20"/>
  <c r="H18" i="11"/>
  <c r="H43" i="11"/>
  <c r="H51" i="11"/>
  <c r="H38" i="11"/>
  <c r="N6" i="11"/>
  <c r="N9" i="11" s="1"/>
  <c r="M21" i="11" s="1"/>
  <c r="H49" i="11"/>
  <c r="H29" i="11"/>
  <c r="H15" i="11"/>
  <c r="H24" i="11"/>
  <c r="H35" i="11"/>
  <c r="H34" i="11"/>
  <c r="H31" i="11"/>
  <c r="H21" i="11"/>
  <c r="H19" i="11"/>
  <c r="H44" i="11"/>
  <c r="H16" i="11"/>
  <c r="H25" i="11"/>
  <c r="H46" i="11"/>
  <c r="H32" i="11"/>
  <c r="H56" i="11"/>
  <c r="H22" i="11"/>
  <c r="H46" i="18"/>
  <c r="G8" i="17"/>
  <c r="H51" i="17" s="1"/>
  <c r="F146" i="2"/>
  <c r="I178" i="2"/>
  <c r="I182" i="2" s="1"/>
  <c r="B51" i="2"/>
  <c r="J111" i="2"/>
  <c r="L101" i="2"/>
  <c r="L100" i="2"/>
  <c r="L103" i="2"/>
  <c r="L99" i="2"/>
  <c r="L102" i="2"/>
  <c r="J39" i="9"/>
  <c r="C141" i="3" s="1"/>
  <c r="C11" i="14"/>
  <c r="B37" i="3" s="1"/>
  <c r="G36" i="15"/>
  <c r="G40" i="15" s="1"/>
  <c r="F198" i="3"/>
  <c r="C142" i="3"/>
  <c r="E11" i="9"/>
  <c r="E24" i="9" s="1"/>
  <c r="B183" i="3"/>
  <c r="F183" i="3" s="1"/>
  <c r="F142" i="2" s="1"/>
  <c r="F190" i="3"/>
  <c r="J86" i="2"/>
  <c r="B34" i="14"/>
  <c r="F184" i="3"/>
  <c r="F143" i="2" s="1"/>
  <c r="B18" i="14"/>
  <c r="C78" i="3"/>
  <c r="F187" i="3"/>
  <c r="B26" i="14"/>
  <c r="C81" i="3"/>
  <c r="J57" i="9"/>
  <c r="C10" i="14"/>
  <c r="B36" i="3" s="1"/>
  <c r="C79" i="3"/>
  <c r="B113" i="9"/>
  <c r="A10" i="5"/>
  <c r="A11" i="5" s="1"/>
  <c r="A12" i="5" s="1"/>
  <c r="A13" i="5" s="1"/>
  <c r="A14" i="5" s="1"/>
  <c r="A15" i="5" s="1"/>
  <c r="A9" i="13"/>
  <c r="A10" i="13" s="1"/>
  <c r="A11" i="13" s="1"/>
  <c r="A12" i="13" s="1"/>
  <c r="A13" i="13" s="1"/>
  <c r="A14" i="13" s="1"/>
  <c r="A15" i="13" s="1"/>
  <c r="A16" i="13" s="1"/>
  <c r="A17" i="13" s="1"/>
  <c r="A18" i="13" s="1"/>
  <c r="A19" i="13" s="1"/>
  <c r="D11" i="9"/>
  <c r="D38" i="9" s="1"/>
  <c r="B20" i="3"/>
  <c r="B14" i="2" s="1"/>
  <c r="F52" i="2"/>
  <c r="B6" i="3"/>
  <c r="I211" i="2"/>
  <c r="I7" i="7"/>
  <c r="C108" i="3"/>
  <c r="C109" i="3" s="1"/>
  <c r="C111" i="3" s="1"/>
  <c r="J132" i="16"/>
  <c r="F195" i="3"/>
  <c r="H33" i="7"/>
  <c r="L191" i="16"/>
  <c r="K102" i="9"/>
  <c r="H30" i="12"/>
  <c r="H34" i="12" s="1"/>
  <c r="B17" i="14"/>
  <c r="F191" i="3"/>
  <c r="H58" i="7"/>
  <c r="F186" i="3"/>
  <c r="M133" i="16"/>
  <c r="B40" i="14"/>
  <c r="C2" i="6"/>
  <c r="C295" i="6" s="1"/>
  <c r="J128" i="2" s="1"/>
  <c r="B16" i="14"/>
  <c r="B24" i="14"/>
  <c r="B81" i="3"/>
  <c r="B80" i="3"/>
  <c r="F197" i="3"/>
  <c r="C177" i="3"/>
  <c r="C179" i="3" s="1"/>
  <c r="E176" i="3"/>
  <c r="B15" i="14"/>
  <c r="H25" i="7"/>
  <c r="B219" i="3"/>
  <c r="K65" i="9"/>
  <c r="K66" i="9" s="1"/>
  <c r="C153" i="3"/>
  <c r="C154" i="3" s="1"/>
  <c r="B39" i="14"/>
  <c r="I8" i="7"/>
  <c r="C103" i="3"/>
  <c r="B31" i="14"/>
  <c r="L59" i="16"/>
  <c r="L175" i="16"/>
  <c r="L33" i="9"/>
  <c r="C6" i="3"/>
  <c r="K110" i="9"/>
  <c r="H1" i="12"/>
  <c r="B17" i="12" s="1"/>
  <c r="I11" i="9"/>
  <c r="I24" i="9" s="1"/>
  <c r="B73" i="3"/>
  <c r="B74" i="3" s="1"/>
  <c r="D280" i="6"/>
  <c r="D281" i="6" s="1"/>
  <c r="D282" i="6" s="1"/>
  <c r="D283" i="6" s="1"/>
  <c r="D284" i="6" s="1"/>
  <c r="D285" i="6" s="1"/>
  <c r="D286" i="6" s="1"/>
  <c r="D287" i="6" s="1"/>
  <c r="D288" i="6" s="1"/>
  <c r="D289" i="6" s="1"/>
  <c r="D290" i="6" s="1"/>
  <c r="D291" i="6" s="1"/>
  <c r="D92" i="3"/>
  <c r="D93" i="3" s="1"/>
  <c r="D94" i="3" s="1"/>
  <c r="D37" i="12"/>
  <c r="A38" i="12"/>
  <c r="B39" i="12" s="1"/>
  <c r="H207" i="2"/>
  <c r="H208" i="2" s="1"/>
  <c r="H209" i="2" s="1"/>
  <c r="H210" i="2" s="1"/>
  <c r="H211" i="2" s="1"/>
  <c r="H214" i="2" s="1"/>
  <c r="H215" i="2" s="1"/>
  <c r="H216" i="2" s="1"/>
  <c r="H217" i="2" s="1"/>
  <c r="H64" i="2"/>
  <c r="H67" i="2" s="1"/>
  <c r="H68" i="2" s="1"/>
  <c r="H69" i="2" s="1"/>
  <c r="H70" i="2" s="1"/>
  <c r="H71" i="2" s="1"/>
  <c r="H72" i="2" s="1"/>
  <c r="H73" i="2" s="1"/>
  <c r="H74" i="2" s="1"/>
  <c r="H75" i="2" s="1"/>
  <c r="H76" i="2" s="1"/>
  <c r="H77" i="2" s="1"/>
  <c r="H78" i="2" s="1"/>
  <c r="H79" i="2" s="1"/>
  <c r="H80" i="2" s="1"/>
  <c r="H81" i="2" s="1"/>
  <c r="F43" i="9"/>
  <c r="I11" i="7"/>
  <c r="A28" i="15"/>
  <c r="F27" i="15"/>
  <c r="A9" i="12"/>
  <c r="I157" i="16"/>
  <c r="D36" i="12"/>
  <c r="B185" i="3"/>
  <c r="D3" i="14"/>
  <c r="C3" i="14"/>
  <c r="E41" i="9"/>
  <c r="L41" i="9" s="1"/>
  <c r="I9" i="7"/>
  <c r="F54" i="7" s="1"/>
  <c r="H54" i="18"/>
  <c r="H38" i="18"/>
  <c r="H39" i="18"/>
  <c r="H55" i="18"/>
  <c r="H28" i="18"/>
  <c r="H44" i="18"/>
  <c r="H30" i="18"/>
  <c r="A9" i="6"/>
  <c r="A10" i="6" s="1"/>
  <c r="A11" i="6" s="1"/>
  <c r="A12" i="6" s="1"/>
  <c r="A13" i="6" s="1"/>
  <c r="A14" i="6" s="1"/>
  <c r="A15" i="6" s="1"/>
  <c r="G62" i="9"/>
  <c r="A63" i="9"/>
  <c r="G40" i="9"/>
  <c r="A38" i="15"/>
  <c r="D37" i="15"/>
  <c r="I10" i="7"/>
  <c r="I139" i="16"/>
  <c r="C95" i="3"/>
  <c r="H71" i="9"/>
  <c r="F26" i="15"/>
  <c r="D191" i="16"/>
  <c r="B82" i="3"/>
  <c r="B79" i="3"/>
  <c r="B78" i="3"/>
  <c r="B116" i="2"/>
  <c r="A25" i="7"/>
  <c r="B25" i="7"/>
  <c r="H40" i="11"/>
  <c r="H50" i="11"/>
  <c r="I51" i="19"/>
  <c r="H13" i="11"/>
  <c r="H37" i="11"/>
  <c r="H54" i="11"/>
  <c r="B33" i="14"/>
  <c r="B25" i="14"/>
  <c r="E179" i="3"/>
  <c r="C80" i="3"/>
  <c r="H28" i="11"/>
  <c r="H41" i="11"/>
  <c r="H12" i="11"/>
  <c r="H53" i="11"/>
  <c r="H55" i="11"/>
  <c r="H52" i="11"/>
  <c r="H27" i="11"/>
  <c r="H48" i="11"/>
  <c r="H45" i="11"/>
  <c r="H42" i="11"/>
  <c r="H39" i="11"/>
  <c r="H36" i="11"/>
  <c r="H33" i="11"/>
  <c r="H30" i="11"/>
  <c r="H26" i="11"/>
  <c r="H23" i="11"/>
  <c r="H20" i="11"/>
  <c r="H17" i="11"/>
  <c r="H14" i="11"/>
  <c r="A231" i="8"/>
  <c r="A232" i="8" s="1"/>
  <c r="A233" i="8" s="1"/>
  <c r="A234" i="8" s="1"/>
  <c r="A235" i="8" s="1"/>
  <c r="A236" i="8" s="1"/>
  <c r="A237" i="8" s="1"/>
  <c r="A238" i="8" s="1"/>
  <c r="A239" i="8" s="1"/>
  <c r="A240" i="8" s="1"/>
  <c r="A244" i="8" s="1"/>
  <c r="A245" i="8" s="1"/>
  <c r="A246" i="8" s="1"/>
  <c r="A247" i="8" s="1"/>
  <c r="A248" i="8" s="1"/>
  <c r="A249" i="8" s="1"/>
  <c r="A250" i="8" s="1"/>
  <c r="A228" i="8"/>
  <c r="F11" i="9"/>
  <c r="G1" i="15"/>
  <c r="K54" i="9"/>
  <c r="G38" i="9" l="1"/>
  <c r="D35" i="12"/>
  <c r="G52" i="2"/>
  <c r="H14" i="18"/>
  <c r="H31" i="18"/>
  <c r="H45" i="18"/>
  <c r="H15" i="18"/>
  <c r="C143" i="3"/>
  <c r="H21" i="18"/>
  <c r="H40" i="18"/>
  <c r="H41" i="18"/>
  <c r="H43" i="18"/>
  <c r="H33" i="18"/>
  <c r="H19" i="18"/>
  <c r="H34" i="18"/>
  <c r="H37" i="18"/>
  <c r="H48" i="18"/>
  <c r="H22" i="18"/>
  <c r="I160" i="16"/>
  <c r="H47" i="18"/>
  <c r="H20" i="18"/>
  <c r="H53" i="18"/>
  <c r="H56" i="18"/>
  <c r="H16" i="18"/>
  <c r="H52" i="18"/>
  <c r="H50" i="18"/>
  <c r="H51" i="18"/>
  <c r="H35" i="18"/>
  <c r="G24" i="9"/>
  <c r="H17" i="18"/>
  <c r="H12" i="18"/>
  <c r="H13" i="18"/>
  <c r="H23" i="18"/>
  <c r="H29" i="18"/>
  <c r="N6" i="18"/>
  <c r="N9" i="18" s="1"/>
  <c r="M46" i="18" s="1"/>
  <c r="C138" i="27" s="1"/>
  <c r="G138" i="27" s="1"/>
  <c r="H42" i="18"/>
  <c r="H25" i="18"/>
  <c r="H27" i="18"/>
  <c r="H18" i="18"/>
  <c r="H49" i="18"/>
  <c r="H36" i="18"/>
  <c r="H26" i="18"/>
  <c r="H32" i="18"/>
  <c r="A10" i="15"/>
  <c r="D10" i="15" s="1"/>
  <c r="B179" i="2"/>
  <c r="M36" i="11"/>
  <c r="M24" i="11"/>
  <c r="Q16" i="27" s="1"/>
  <c r="H30" i="17"/>
  <c r="H26" i="17"/>
  <c r="H54" i="17"/>
  <c r="M48" i="11"/>
  <c r="C40" i="27" s="1"/>
  <c r="M54" i="11"/>
  <c r="Q46" i="27" s="1"/>
  <c r="M35" i="11"/>
  <c r="C27" i="27" s="1"/>
  <c r="G27" i="27" s="1"/>
  <c r="A16" i="5"/>
  <c r="A17" i="5" s="1"/>
  <c r="A18" i="5" s="1"/>
  <c r="A19" i="5" s="1"/>
  <c r="A20" i="5" s="1"/>
  <c r="C236" i="27"/>
  <c r="Q236" i="27"/>
  <c r="Q394" i="27"/>
  <c r="C394" i="27"/>
  <c r="G394" i="27" s="1"/>
  <c r="Q340" i="27"/>
  <c r="C340" i="27"/>
  <c r="G340" i="27" s="1"/>
  <c r="Q259" i="27"/>
  <c r="C259" i="27"/>
  <c r="Q368" i="27"/>
  <c r="C368" i="27"/>
  <c r="G368" i="27" s="1"/>
  <c r="Q316" i="27"/>
  <c r="C316" i="27"/>
  <c r="G316" i="27" s="1"/>
  <c r="Q376" i="27"/>
  <c r="C376" i="27"/>
  <c r="G376" i="27" s="1"/>
  <c r="C272" i="27"/>
  <c r="Q272" i="27"/>
  <c r="Q264" i="27"/>
  <c r="C264" i="27"/>
  <c r="C322" i="27"/>
  <c r="G322" i="27" s="1"/>
  <c r="Q322" i="27"/>
  <c r="Q260" i="27"/>
  <c r="C260" i="27"/>
  <c r="C357" i="27"/>
  <c r="G357" i="27" s="1"/>
  <c r="Q357" i="27"/>
  <c r="Q380" i="27"/>
  <c r="C380" i="27"/>
  <c r="G380" i="27" s="1"/>
  <c r="C374" i="27"/>
  <c r="G374" i="27" s="1"/>
  <c r="Q374" i="27"/>
  <c r="C169" i="27"/>
  <c r="G169" i="27" s="1"/>
  <c r="Q169" i="27"/>
  <c r="C378" i="27"/>
  <c r="G378" i="27" s="1"/>
  <c r="Q378" i="27"/>
  <c r="Q233" i="27"/>
  <c r="C233" i="27"/>
  <c r="Q188" i="27"/>
  <c r="C188" i="27"/>
  <c r="C244" i="27"/>
  <c r="Q244" i="27"/>
  <c r="C339" i="27"/>
  <c r="G339" i="27" s="1"/>
  <c r="Q339" i="27"/>
  <c r="Q265" i="27"/>
  <c r="C265" i="27"/>
  <c r="Q323" i="27"/>
  <c r="C323" i="27"/>
  <c r="G323" i="27" s="1"/>
  <c r="C318" i="27"/>
  <c r="G318" i="27" s="1"/>
  <c r="Q318" i="27"/>
  <c r="C382" i="27"/>
  <c r="G382" i="27" s="1"/>
  <c r="Q382" i="27"/>
  <c r="Q170" i="27"/>
  <c r="C170" i="27"/>
  <c r="G170" i="27" s="1"/>
  <c r="Q362" i="27"/>
  <c r="C362" i="27"/>
  <c r="G362" i="27" s="1"/>
  <c r="Q385" i="27"/>
  <c r="C385" i="27"/>
  <c r="G385" i="27" s="1"/>
  <c r="Q307" i="27"/>
  <c r="C307" i="27"/>
  <c r="Q166" i="27"/>
  <c r="C166" i="27"/>
  <c r="G166" i="27" s="1"/>
  <c r="Q229" i="27"/>
  <c r="C229" i="27"/>
  <c r="Q196" i="27"/>
  <c r="C196" i="27"/>
  <c r="G196" i="27" s="1"/>
  <c r="C348" i="27"/>
  <c r="G348" i="27" s="1"/>
  <c r="Q348" i="27"/>
  <c r="Q239" i="27"/>
  <c r="C239" i="27"/>
  <c r="C391" i="27"/>
  <c r="G391" i="27" s="1"/>
  <c r="Q391" i="27"/>
  <c r="C334" i="27"/>
  <c r="G334" i="27" s="1"/>
  <c r="Q334" i="27"/>
  <c r="Q220" i="27"/>
  <c r="C220" i="27"/>
  <c r="Q293" i="27"/>
  <c r="C293" i="27"/>
  <c r="G293" i="27" s="1"/>
  <c r="C298" i="27"/>
  <c r="Q298" i="27"/>
  <c r="Q320" i="27"/>
  <c r="C320" i="27"/>
  <c r="G320" i="27" s="1"/>
  <c r="Q210" i="27"/>
  <c r="C210" i="27"/>
  <c r="Q158" i="27"/>
  <c r="C158" i="27"/>
  <c r="G158" i="27" s="1"/>
  <c r="Q345" i="27"/>
  <c r="C345" i="27"/>
  <c r="G345" i="27" s="1"/>
  <c r="Q379" i="27"/>
  <c r="C379" i="27"/>
  <c r="G379" i="27" s="1"/>
  <c r="C263" i="27"/>
  <c r="G263" i="27" s="1"/>
  <c r="Q263" i="27"/>
  <c r="Q171" i="27"/>
  <c r="C171" i="27"/>
  <c r="C177" i="27"/>
  <c r="Q177" i="27"/>
  <c r="Q363" i="27"/>
  <c r="C363" i="27"/>
  <c r="G363" i="27" s="1"/>
  <c r="Q321" i="27"/>
  <c r="C321" i="27"/>
  <c r="G321" i="27" s="1"/>
  <c r="C190" i="27"/>
  <c r="Q190" i="27"/>
  <c r="C268" i="27"/>
  <c r="G268" i="27" s="1"/>
  <c r="Q268" i="27"/>
  <c r="C254" i="27"/>
  <c r="Q254" i="27"/>
  <c r="M57" i="24"/>
  <c r="Q266" i="27"/>
  <c r="C266" i="27"/>
  <c r="C291" i="27"/>
  <c r="G291" i="27" s="1"/>
  <c r="Q291" i="27"/>
  <c r="C181" i="27"/>
  <c r="G181" i="27" s="1"/>
  <c r="Q181" i="27"/>
  <c r="Q358" i="27"/>
  <c r="C358" i="27"/>
  <c r="G358" i="27" s="1"/>
  <c r="Q372" i="27"/>
  <c r="C372" i="27"/>
  <c r="G372" i="27" s="1"/>
  <c r="Q243" i="27"/>
  <c r="C243" i="27"/>
  <c r="Q167" i="27"/>
  <c r="C167" i="27"/>
  <c r="Q346" i="27"/>
  <c r="C346" i="27"/>
  <c r="G346" i="27" s="1"/>
  <c r="Q396" i="27"/>
  <c r="C396" i="27"/>
  <c r="G396" i="27" s="1"/>
  <c r="Q185" i="27"/>
  <c r="C185" i="27"/>
  <c r="Q180" i="27"/>
  <c r="C180" i="27"/>
  <c r="G180" i="27" s="1"/>
  <c r="Q311" i="27"/>
  <c r="C311" i="27"/>
  <c r="C277" i="27"/>
  <c r="Q277" i="27"/>
  <c r="Q375" i="27"/>
  <c r="C375" i="27"/>
  <c r="G375" i="27" s="1"/>
  <c r="C398" i="27"/>
  <c r="G398" i="27" s="1"/>
  <c r="Q398" i="27"/>
  <c r="Q162" i="27"/>
  <c r="C162" i="27"/>
  <c r="G162" i="27" s="1"/>
  <c r="Q282" i="27"/>
  <c r="C282" i="27"/>
  <c r="C168" i="27"/>
  <c r="Q168" i="27"/>
  <c r="C377" i="27"/>
  <c r="G377" i="27" s="1"/>
  <c r="Q377" i="27"/>
  <c r="Q230" i="27"/>
  <c r="C230" i="27"/>
  <c r="Q287" i="27"/>
  <c r="C287" i="27"/>
  <c r="Q360" i="27"/>
  <c r="C360" i="27"/>
  <c r="G360" i="27" s="1"/>
  <c r="Q241" i="27"/>
  <c r="C241" i="27"/>
  <c r="Q355" i="27"/>
  <c r="C355" i="27"/>
  <c r="G355" i="27" s="1"/>
  <c r="C290" i="27"/>
  <c r="Q290" i="27"/>
  <c r="C312" i="27"/>
  <c r="G312" i="27" s="1"/>
  <c r="Q312" i="27"/>
  <c r="C285" i="27"/>
  <c r="Q285" i="27"/>
  <c r="C313" i="27"/>
  <c r="Q313" i="27"/>
  <c r="C221" i="27"/>
  <c r="Q221" i="27"/>
  <c r="Q234" i="27"/>
  <c r="C234" i="27"/>
  <c r="Q359" i="27"/>
  <c r="C359" i="27"/>
  <c r="G359" i="27" s="1"/>
  <c r="Q192" i="27"/>
  <c r="C192" i="27"/>
  <c r="C383" i="27"/>
  <c r="G383" i="27" s="1"/>
  <c r="Q383" i="27"/>
  <c r="Q371" i="27"/>
  <c r="C371" i="27"/>
  <c r="G371" i="27" s="1"/>
  <c r="C231" i="27"/>
  <c r="Q231" i="27"/>
  <c r="Q216" i="27"/>
  <c r="C216" i="27"/>
  <c r="C172" i="27"/>
  <c r="Q172" i="27"/>
  <c r="Q197" i="27"/>
  <c r="C197" i="27"/>
  <c r="G197" i="27" s="1"/>
  <c r="C364" i="27"/>
  <c r="G364" i="27" s="1"/>
  <c r="Q364" i="27"/>
  <c r="C207" i="27"/>
  <c r="Q207" i="27"/>
  <c r="C370" i="27"/>
  <c r="G370" i="27" s="1"/>
  <c r="Q370" i="27"/>
  <c r="C228" i="27"/>
  <c r="Q228" i="27"/>
  <c r="C161" i="27"/>
  <c r="Q161" i="27"/>
  <c r="C262" i="27"/>
  <c r="G262" i="27" s="1"/>
  <c r="Q262" i="27"/>
  <c r="C331" i="27"/>
  <c r="G331" i="27" s="1"/>
  <c r="Q331" i="27"/>
  <c r="Q226" i="27"/>
  <c r="C226" i="27"/>
  <c r="C217" i="27"/>
  <c r="Q217" i="27"/>
  <c r="C155" i="27"/>
  <c r="Q155" i="27"/>
  <c r="C308" i="27"/>
  <c r="Q308" i="27"/>
  <c r="Q397" i="27"/>
  <c r="C397" i="27"/>
  <c r="G397" i="27" s="1"/>
  <c r="Q237" i="27"/>
  <c r="C237" i="27"/>
  <c r="Q366" i="27"/>
  <c r="C366" i="27"/>
  <c r="G366" i="27" s="1"/>
  <c r="C213" i="27"/>
  <c r="Q213" i="27"/>
  <c r="C294" i="27"/>
  <c r="Q294" i="27"/>
  <c r="Q284" i="27"/>
  <c r="C284" i="27"/>
  <c r="G284" i="27" s="1"/>
  <c r="Q297" i="27"/>
  <c r="C297" i="27"/>
  <c r="Q242" i="27"/>
  <c r="C242" i="27"/>
  <c r="C295" i="27"/>
  <c r="Q295" i="27"/>
  <c r="C248" i="27"/>
  <c r="Q248" i="27"/>
  <c r="C187" i="27"/>
  <c r="Q187" i="27"/>
  <c r="Q211" i="27"/>
  <c r="C211" i="27"/>
  <c r="C176" i="27"/>
  <c r="G176" i="27" s="1"/>
  <c r="Q176" i="27"/>
  <c r="Q256" i="27"/>
  <c r="C256" i="27"/>
  <c r="Q275" i="27"/>
  <c r="C275" i="27"/>
  <c r="G275" i="27" s="1"/>
  <c r="C373" i="27"/>
  <c r="G373" i="27" s="1"/>
  <c r="Q373" i="27"/>
  <c r="C227" i="27"/>
  <c r="Q227" i="27"/>
  <c r="Q319" i="27"/>
  <c r="C319" i="27"/>
  <c r="G319" i="27" s="1"/>
  <c r="Q157" i="27"/>
  <c r="C157" i="27"/>
  <c r="Q388" i="27"/>
  <c r="C388" i="27"/>
  <c r="G388" i="27" s="1"/>
  <c r="Q246" i="27"/>
  <c r="C246" i="27"/>
  <c r="Q384" i="27"/>
  <c r="C384" i="27"/>
  <c r="G384" i="27" s="1"/>
  <c r="Q389" i="27"/>
  <c r="C389" i="27"/>
  <c r="G389" i="27" s="1"/>
  <c r="C326" i="27"/>
  <c r="G326" i="27" s="1"/>
  <c r="Q326" i="27"/>
  <c r="C186" i="27"/>
  <c r="Q186" i="27"/>
  <c r="C165" i="27"/>
  <c r="G165" i="27" s="1"/>
  <c r="Q165" i="27"/>
  <c r="C305" i="27"/>
  <c r="Q305" i="27"/>
  <c r="Q235" i="27"/>
  <c r="C235" i="27"/>
  <c r="C273" i="27"/>
  <c r="Q273" i="27"/>
  <c r="C173" i="27"/>
  <c r="G173" i="27" s="1"/>
  <c r="Q173" i="27"/>
  <c r="C191" i="27"/>
  <c r="Q191" i="27"/>
  <c r="Q390" i="27"/>
  <c r="C390" i="27"/>
  <c r="G390" i="27" s="1"/>
  <c r="C198" i="27"/>
  <c r="Q198" i="27"/>
  <c r="Q154" i="27"/>
  <c r="C154" i="27"/>
  <c r="M57" i="21"/>
  <c r="Q279" i="27"/>
  <c r="C279" i="27"/>
  <c r="G279" i="27" s="1"/>
  <c r="C314" i="27"/>
  <c r="G314" i="27" s="1"/>
  <c r="Q314" i="27"/>
  <c r="Q212" i="27"/>
  <c r="C212" i="27"/>
  <c r="Q224" i="27"/>
  <c r="C224" i="27"/>
  <c r="Q159" i="27"/>
  <c r="C159" i="27"/>
  <c r="G159" i="27" s="1"/>
  <c r="C395" i="27"/>
  <c r="G395" i="27" s="1"/>
  <c r="Q395" i="27"/>
  <c r="Q174" i="27"/>
  <c r="C174" i="27"/>
  <c r="C257" i="27"/>
  <c r="G257" i="27" s="1"/>
  <c r="Q257" i="27"/>
  <c r="C271" i="27"/>
  <c r="Q271" i="27"/>
  <c r="C338" i="27"/>
  <c r="G338" i="27" s="1"/>
  <c r="Q338" i="27"/>
  <c r="Q163" i="27"/>
  <c r="C163" i="27"/>
  <c r="G163" i="27" s="1"/>
  <c r="C327" i="27"/>
  <c r="G327" i="27" s="1"/>
  <c r="Q327" i="27"/>
  <c r="C258" i="27"/>
  <c r="Q258" i="27"/>
  <c r="Q225" i="27"/>
  <c r="C225" i="27"/>
  <c r="Q306" i="27"/>
  <c r="C306" i="27"/>
  <c r="Q269" i="27"/>
  <c r="C269" i="27"/>
  <c r="C222" i="27"/>
  <c r="Q222" i="27"/>
  <c r="Q292" i="27"/>
  <c r="C292" i="27"/>
  <c r="C214" i="27"/>
  <c r="Q214" i="27"/>
  <c r="C218" i="27"/>
  <c r="Q218" i="27"/>
  <c r="Q255" i="27"/>
  <c r="C255" i="27"/>
  <c r="C209" i="27"/>
  <c r="Q209" i="27"/>
  <c r="Q325" i="27"/>
  <c r="C325" i="27"/>
  <c r="G325" i="27" s="1"/>
  <c r="Q206" i="27"/>
  <c r="C206" i="27"/>
  <c r="Q179" i="27"/>
  <c r="C179" i="27"/>
  <c r="G179" i="27" s="1"/>
  <c r="C365" i="27"/>
  <c r="G365" i="27" s="1"/>
  <c r="Q365" i="27"/>
  <c r="C335" i="27"/>
  <c r="G335" i="27" s="1"/>
  <c r="Q335" i="27"/>
  <c r="C195" i="27"/>
  <c r="Q195" i="27"/>
  <c r="Q367" i="27"/>
  <c r="C367" i="27"/>
  <c r="G367" i="27" s="1"/>
  <c r="C223" i="27"/>
  <c r="Q223" i="27"/>
  <c r="C343" i="27"/>
  <c r="G343" i="27" s="1"/>
  <c r="Q343" i="27"/>
  <c r="Q296" i="27"/>
  <c r="C296" i="27"/>
  <c r="Q328" i="27"/>
  <c r="C328" i="27"/>
  <c r="G328" i="27" s="1"/>
  <c r="C164" i="27"/>
  <c r="G164" i="27" s="1"/>
  <c r="Q164" i="27"/>
  <c r="Q324" i="27"/>
  <c r="C324" i="27"/>
  <c r="G324" i="27" s="1"/>
  <c r="C194" i="27"/>
  <c r="Q194" i="27"/>
  <c r="Q219" i="27"/>
  <c r="C219" i="27"/>
  <c r="Q238" i="27"/>
  <c r="C238" i="27"/>
  <c r="C182" i="27"/>
  <c r="Q182" i="27"/>
  <c r="Q342" i="27"/>
  <c r="C342" i="27"/>
  <c r="G342" i="27" s="1"/>
  <c r="C245" i="27"/>
  <c r="Q245" i="27"/>
  <c r="C267" i="27"/>
  <c r="Q267" i="27"/>
  <c r="C386" i="27"/>
  <c r="G386" i="27" s="1"/>
  <c r="Q386" i="27"/>
  <c r="Q183" i="27"/>
  <c r="C183" i="27"/>
  <c r="C330" i="27"/>
  <c r="G330" i="27" s="1"/>
  <c r="Q330" i="27"/>
  <c r="Q288" i="27"/>
  <c r="C288" i="27"/>
  <c r="Q354" i="27"/>
  <c r="C354" i="27"/>
  <c r="M57" i="26"/>
  <c r="C304" i="27"/>
  <c r="Q304" i="27"/>
  <c r="M57" i="25"/>
  <c r="C356" i="27"/>
  <c r="G356" i="27" s="1"/>
  <c r="Q356" i="27"/>
  <c r="Q315" i="27"/>
  <c r="C315" i="27"/>
  <c r="C280" i="27"/>
  <c r="Q280" i="27"/>
  <c r="Q274" i="27"/>
  <c r="C274" i="27"/>
  <c r="G274" i="27" s="1"/>
  <c r="Q278" i="27"/>
  <c r="C278" i="27"/>
  <c r="G278" i="27" s="1"/>
  <c r="Q247" i="27"/>
  <c r="C247" i="27"/>
  <c r="C281" i="27"/>
  <c r="Q281" i="27"/>
  <c r="C261" i="27"/>
  <c r="Q261" i="27"/>
  <c r="C286" i="27"/>
  <c r="G286" i="27" s="1"/>
  <c r="Q286" i="27"/>
  <c r="Q336" i="27"/>
  <c r="C336" i="27"/>
  <c r="G336" i="27" s="1"/>
  <c r="Q205" i="27"/>
  <c r="C205" i="27"/>
  <c r="Q270" i="27"/>
  <c r="C270" i="27"/>
  <c r="G270" i="27" s="1"/>
  <c r="Q333" i="27"/>
  <c r="C333" i="27"/>
  <c r="G333" i="27" s="1"/>
  <c r="C369" i="27"/>
  <c r="G369" i="27" s="1"/>
  <c r="Q369" i="27"/>
  <c r="Q178" i="27"/>
  <c r="C178" i="27"/>
  <c r="C28" i="27"/>
  <c r="Q28" i="27"/>
  <c r="Q175" i="27"/>
  <c r="C175" i="27"/>
  <c r="C317" i="27"/>
  <c r="G317" i="27" s="1"/>
  <c r="Q317" i="27"/>
  <c r="C160" i="27"/>
  <c r="Q160" i="27"/>
  <c r="C13" i="27"/>
  <c r="Q13" i="27"/>
  <c r="C387" i="27"/>
  <c r="G387" i="27" s="1"/>
  <c r="Q387" i="27"/>
  <c r="Q341" i="27"/>
  <c r="C341" i="27"/>
  <c r="G341" i="27" s="1"/>
  <c r="C156" i="27"/>
  <c r="Q156" i="27"/>
  <c r="Q283" i="27"/>
  <c r="C283" i="27"/>
  <c r="G283" i="27" s="1"/>
  <c r="C309" i="27"/>
  <c r="Q309" i="27"/>
  <c r="Q332" i="27"/>
  <c r="C332" i="27"/>
  <c r="G332" i="27" s="1"/>
  <c r="Q189" i="27"/>
  <c r="C189" i="27"/>
  <c r="C361" i="27"/>
  <c r="G361" i="27" s="1"/>
  <c r="Q361" i="27"/>
  <c r="C240" i="27"/>
  <c r="Q240" i="27"/>
  <c r="C204" i="27"/>
  <c r="Q204" i="27"/>
  <c r="M57" i="23"/>
  <c r="C208" i="27"/>
  <c r="Q208" i="27"/>
  <c r="Q184" i="27"/>
  <c r="C184" i="27"/>
  <c r="Q392" i="27"/>
  <c r="C392" i="27"/>
  <c r="G392" i="27" s="1"/>
  <c r="Q215" i="27"/>
  <c r="C215" i="27"/>
  <c r="Q193" i="27"/>
  <c r="C193" i="27"/>
  <c r="Q393" i="27"/>
  <c r="C393" i="27"/>
  <c r="G393" i="27" s="1"/>
  <c r="C232" i="27"/>
  <c r="Q232" i="27"/>
  <c r="C347" i="27"/>
  <c r="G347" i="27" s="1"/>
  <c r="Q347" i="27"/>
  <c r="Q381" i="27"/>
  <c r="C381" i="27"/>
  <c r="G381" i="27" s="1"/>
  <c r="Q329" i="27"/>
  <c r="C329" i="27"/>
  <c r="G329" i="27" s="1"/>
  <c r="C344" i="27"/>
  <c r="G344" i="27" s="1"/>
  <c r="Q344" i="27"/>
  <c r="C289" i="27"/>
  <c r="Q289" i="27"/>
  <c r="Q310" i="27"/>
  <c r="C310" i="27"/>
  <c r="Q337" i="27"/>
  <c r="C337" i="27"/>
  <c r="G337" i="27" s="1"/>
  <c r="C276" i="27"/>
  <c r="Q276" i="27"/>
  <c r="M52" i="11"/>
  <c r="M37" i="11"/>
  <c r="M40" i="11"/>
  <c r="M28" i="11"/>
  <c r="M44" i="11"/>
  <c r="M45" i="11"/>
  <c r="M19" i="11"/>
  <c r="M27" i="11"/>
  <c r="M42" i="11"/>
  <c r="M31" i="11"/>
  <c r="H25" i="17"/>
  <c r="H50" i="17"/>
  <c r="H56" i="17"/>
  <c r="H28" i="17"/>
  <c r="M32" i="11"/>
  <c r="M46" i="11"/>
  <c r="M16" i="11"/>
  <c r="M12" i="11"/>
  <c r="H45" i="17"/>
  <c r="H17" i="17"/>
  <c r="H48" i="17"/>
  <c r="M43" i="18"/>
  <c r="M25" i="11"/>
  <c r="M38" i="11"/>
  <c r="H53" i="17"/>
  <c r="M13" i="11"/>
  <c r="H34" i="17"/>
  <c r="H18" i="17"/>
  <c r="H49" i="17"/>
  <c r="H39" i="17"/>
  <c r="H47" i="17"/>
  <c r="H29" i="17"/>
  <c r="H33" i="17"/>
  <c r="H35" i="17"/>
  <c r="H20" i="17"/>
  <c r="H16" i="17"/>
  <c r="H31" i="17"/>
  <c r="H40" i="17"/>
  <c r="H44" i="17"/>
  <c r="N6" i="17"/>
  <c r="N9" i="17" s="1"/>
  <c r="H13" i="17"/>
  <c r="H23" i="17"/>
  <c r="H21" i="17"/>
  <c r="H19" i="17"/>
  <c r="H36" i="17"/>
  <c r="H52" i="17"/>
  <c r="H55" i="17"/>
  <c r="H41" i="17"/>
  <c r="H14" i="17"/>
  <c r="H46" i="17"/>
  <c r="H32" i="17"/>
  <c r="H42" i="17"/>
  <c r="H38" i="17"/>
  <c r="H24" i="17"/>
  <c r="H37" i="17"/>
  <c r="H27" i="17"/>
  <c r="H43" i="17"/>
  <c r="H22" i="17"/>
  <c r="H12" i="17"/>
  <c r="H15" i="17"/>
  <c r="B198" i="3"/>
  <c r="E38" i="9"/>
  <c r="L39" i="9"/>
  <c r="E46" i="9"/>
  <c r="F194" i="3"/>
  <c r="B194" i="3" s="1"/>
  <c r="M53" i="18"/>
  <c r="M17" i="18"/>
  <c r="M34" i="18"/>
  <c r="M26" i="18"/>
  <c r="M50" i="11"/>
  <c r="M34" i="11"/>
  <c r="M15" i="11"/>
  <c r="M14" i="11"/>
  <c r="M17" i="11"/>
  <c r="M26" i="11"/>
  <c r="M53" i="11"/>
  <c r="M47" i="11"/>
  <c r="M33" i="11"/>
  <c r="M20" i="11"/>
  <c r="M49" i="11"/>
  <c r="M23" i="11"/>
  <c r="M39" i="11"/>
  <c r="M43" i="11"/>
  <c r="M18" i="11"/>
  <c r="M22" i="11"/>
  <c r="M56" i="11"/>
  <c r="M30" i="11"/>
  <c r="M55" i="18"/>
  <c r="M13" i="18"/>
  <c r="M36" i="18"/>
  <c r="M40" i="18"/>
  <c r="M47" i="18"/>
  <c r="M25" i="18"/>
  <c r="M27" i="18"/>
  <c r="M31" i="18"/>
  <c r="M33" i="18"/>
  <c r="M16" i="18"/>
  <c r="M32" i="18"/>
  <c r="M20" i="18"/>
  <c r="M52" i="18"/>
  <c r="M29" i="18"/>
  <c r="M39" i="18"/>
  <c r="M15" i="18"/>
  <c r="M24" i="18"/>
  <c r="M23" i="18"/>
  <c r="M50" i="18"/>
  <c r="M54" i="18"/>
  <c r="M19" i="18"/>
  <c r="M12" i="18"/>
  <c r="M28" i="18"/>
  <c r="M42" i="18"/>
  <c r="M44" i="18"/>
  <c r="M51" i="18"/>
  <c r="M48" i="18"/>
  <c r="M37" i="18"/>
  <c r="M41" i="18"/>
  <c r="M45" i="18"/>
  <c r="M35" i="18"/>
  <c r="M56" i="18"/>
  <c r="M21" i="18"/>
  <c r="M29" i="11"/>
  <c r="M49" i="18"/>
  <c r="M18" i="18"/>
  <c r="M38" i="18"/>
  <c r="M41" i="11"/>
  <c r="M14" i="18"/>
  <c r="M55" i="11"/>
  <c r="M22" i="18"/>
  <c r="M30" i="18"/>
  <c r="M51" i="11"/>
  <c r="B195" i="3"/>
  <c r="D24" i="9"/>
  <c r="D46" i="9"/>
  <c r="B138" i="2"/>
  <c r="C9" i="6"/>
  <c r="C10" i="6"/>
  <c r="D1" i="5"/>
  <c r="C6" i="6"/>
  <c r="C8" i="6"/>
  <c r="I46" i="9"/>
  <c r="C11" i="6"/>
  <c r="C14" i="6"/>
  <c r="I38" i="9"/>
  <c r="C7" i="6"/>
  <c r="C13" i="6"/>
  <c r="C12" i="6"/>
  <c r="C292" i="6"/>
  <c r="C294" i="6"/>
  <c r="H128" i="2" s="1"/>
  <c r="C293" i="6"/>
  <c r="G128" i="2" s="1"/>
  <c r="E173" i="3"/>
  <c r="E181" i="3" s="1"/>
  <c r="E180" i="3"/>
  <c r="B137" i="2" s="1"/>
  <c r="C15" i="6"/>
  <c r="B197" i="3"/>
  <c r="L160" i="16"/>
  <c r="L168" i="16" s="1"/>
  <c r="L33" i="16" s="1"/>
  <c r="H26" i="7"/>
  <c r="E35" i="12"/>
  <c r="E41" i="15"/>
  <c r="A20" i="13"/>
  <c r="H55" i="7"/>
  <c r="H59" i="7" s="1"/>
  <c r="H98" i="9"/>
  <c r="K99" i="9" s="1"/>
  <c r="K103" i="9" s="1"/>
  <c r="L141" i="16"/>
  <c r="L153" i="16" s="1"/>
  <c r="L31" i="16" s="1"/>
  <c r="I216" i="2"/>
  <c r="D38" i="12"/>
  <c r="A39" i="12"/>
  <c r="F185" i="3"/>
  <c r="F144" i="2" s="1"/>
  <c r="F196" i="3"/>
  <c r="A16" i="6"/>
  <c r="C16" i="6" s="1"/>
  <c r="A26" i="7"/>
  <c r="J25" i="7"/>
  <c r="B26" i="7"/>
  <c r="G63" i="9"/>
  <c r="A64" i="9"/>
  <c r="K73" i="9"/>
  <c r="A29" i="15"/>
  <c r="F28" i="15"/>
  <c r="D38" i="15"/>
  <c r="A39" i="15"/>
  <c r="A10" i="12"/>
  <c r="G9" i="12"/>
  <c r="B20" i="15"/>
  <c r="F38" i="9"/>
  <c r="F24" i="9"/>
  <c r="F46" i="9"/>
  <c r="Q138" i="27" l="1"/>
  <c r="C16" i="27"/>
  <c r="G16" i="27" s="1"/>
  <c r="A11" i="15"/>
  <c r="D11" i="15" s="1"/>
  <c r="M42" i="17"/>
  <c r="Q27" i="27"/>
  <c r="Q40" i="27"/>
  <c r="C46" i="27"/>
  <c r="Q39" i="27"/>
  <c r="C39" i="27"/>
  <c r="Q147" i="27"/>
  <c r="C147" i="27"/>
  <c r="Q22" i="27"/>
  <c r="C22" i="27"/>
  <c r="Q29" i="27"/>
  <c r="C29" i="27"/>
  <c r="Q9" i="27"/>
  <c r="C9" i="27"/>
  <c r="Q300" i="27"/>
  <c r="Q21" i="27"/>
  <c r="C21" i="27"/>
  <c r="Q113" i="27"/>
  <c r="C113" i="27"/>
  <c r="C111" i="27"/>
  <c r="Q111" i="27"/>
  <c r="Q125" i="27"/>
  <c r="C125" i="27"/>
  <c r="C10" i="27"/>
  <c r="G10" i="27" s="1"/>
  <c r="Q10" i="27"/>
  <c r="C7" i="27"/>
  <c r="Q7" i="27"/>
  <c r="M46" i="17"/>
  <c r="M40" i="17"/>
  <c r="Q5" i="27"/>
  <c r="C5" i="27"/>
  <c r="M28" i="17"/>
  <c r="Q250" i="27"/>
  <c r="C106" i="27"/>
  <c r="G106" i="27" s="1"/>
  <c r="Q106" i="27"/>
  <c r="Q25" i="27"/>
  <c r="C25" i="27"/>
  <c r="Q143" i="27"/>
  <c r="C143" i="27"/>
  <c r="C200" i="27"/>
  <c r="Q136" i="27"/>
  <c r="C136" i="27"/>
  <c r="C18" i="27"/>
  <c r="G18" i="27" s="1"/>
  <c r="Q18" i="27"/>
  <c r="Q8" i="27"/>
  <c r="C8" i="27"/>
  <c r="Q120" i="27"/>
  <c r="C120" i="27"/>
  <c r="C44" i="27"/>
  <c r="Q44" i="27"/>
  <c r="Q104" i="27"/>
  <c r="C104" i="27"/>
  <c r="Q148" i="27"/>
  <c r="C148" i="27"/>
  <c r="C146" i="27"/>
  <c r="Q146" i="27"/>
  <c r="C123" i="27"/>
  <c r="Q123" i="27"/>
  <c r="C35" i="27"/>
  <c r="G35" i="27" s="1"/>
  <c r="Q35" i="27"/>
  <c r="Q26" i="27"/>
  <c r="C26" i="27"/>
  <c r="G26" i="27" s="1"/>
  <c r="M14" i="17"/>
  <c r="C23" i="27"/>
  <c r="Q23" i="27"/>
  <c r="C250" i="27"/>
  <c r="C128" i="27"/>
  <c r="Q128" i="27"/>
  <c r="G354" i="27"/>
  <c r="C400" i="27"/>
  <c r="Q33" i="27"/>
  <c r="C33" i="27"/>
  <c r="Q130" i="27"/>
  <c r="C130" i="27"/>
  <c r="Q4" i="27"/>
  <c r="C4" i="27"/>
  <c r="Q112" i="27"/>
  <c r="C112" i="27"/>
  <c r="G112" i="27" s="1"/>
  <c r="C48" i="27"/>
  <c r="Q48" i="27"/>
  <c r="C6" i="27"/>
  <c r="Q6" i="27"/>
  <c r="Q43" i="27"/>
  <c r="C43" i="27"/>
  <c r="C127" i="27"/>
  <c r="Q127" i="27"/>
  <c r="C142" i="27"/>
  <c r="G142" i="27" s="1"/>
  <c r="Q142" i="27"/>
  <c r="C119" i="27"/>
  <c r="Q119" i="27"/>
  <c r="C31" i="27"/>
  <c r="G31" i="27" s="1"/>
  <c r="Q31" i="27"/>
  <c r="Q42" i="27"/>
  <c r="C42" i="27"/>
  <c r="G42" i="27" s="1"/>
  <c r="M16" i="17"/>
  <c r="C30" i="27"/>
  <c r="Q30" i="27"/>
  <c r="M50" i="17"/>
  <c r="Q34" i="27"/>
  <c r="C34" i="27"/>
  <c r="Q140" i="27"/>
  <c r="C140" i="27"/>
  <c r="G140" i="27" s="1"/>
  <c r="C36" i="27"/>
  <c r="Q36" i="27"/>
  <c r="Q400" i="27"/>
  <c r="Q110" i="27"/>
  <c r="C110" i="27"/>
  <c r="C84" i="27"/>
  <c r="Q84" i="27"/>
  <c r="Q108" i="27"/>
  <c r="C108" i="27"/>
  <c r="G108" i="27" s="1"/>
  <c r="Q122" i="27"/>
  <c r="C122" i="27"/>
  <c r="G122" i="27" s="1"/>
  <c r="C137" i="27"/>
  <c r="Q137" i="27"/>
  <c r="C115" i="27"/>
  <c r="G115" i="27" s="1"/>
  <c r="Q115" i="27"/>
  <c r="Q117" i="27"/>
  <c r="C117" i="27"/>
  <c r="C15" i="27"/>
  <c r="Q15" i="27"/>
  <c r="Q118" i="27"/>
  <c r="C118" i="27"/>
  <c r="M12" i="17"/>
  <c r="Q17" i="27"/>
  <c r="C17" i="27"/>
  <c r="C19" i="27"/>
  <c r="Q19" i="27"/>
  <c r="Q350" i="27"/>
  <c r="Q131" i="27"/>
  <c r="C131" i="27"/>
  <c r="G131" i="27" s="1"/>
  <c r="Q121" i="27"/>
  <c r="C121" i="27"/>
  <c r="G121" i="27" s="1"/>
  <c r="C20" i="27"/>
  <c r="Q20" i="27"/>
  <c r="Q144" i="27"/>
  <c r="C144" i="27"/>
  <c r="C32" i="27"/>
  <c r="G32" i="27" s="1"/>
  <c r="Q32" i="27"/>
  <c r="Q200" i="27"/>
  <c r="Q124" i="27"/>
  <c r="C124" i="27"/>
  <c r="G124" i="27" s="1"/>
  <c r="Q38" i="27"/>
  <c r="C38" i="27"/>
  <c r="G38" i="27" s="1"/>
  <c r="C300" i="27"/>
  <c r="C114" i="27"/>
  <c r="Q114" i="27"/>
  <c r="C133" i="27"/>
  <c r="Q133" i="27"/>
  <c r="Q116" i="27"/>
  <c r="C116" i="27"/>
  <c r="Q139" i="27"/>
  <c r="C139" i="27"/>
  <c r="G139" i="27" s="1"/>
  <c r="Q41" i="27"/>
  <c r="C41" i="27"/>
  <c r="C126" i="27"/>
  <c r="Q126" i="27"/>
  <c r="Q135" i="27"/>
  <c r="C135" i="27"/>
  <c r="C11" i="27"/>
  <c r="Q11" i="27"/>
  <c r="C350" i="27"/>
  <c r="Q145" i="27"/>
  <c r="C145" i="27"/>
  <c r="C105" i="27"/>
  <c r="Q105" i="27"/>
  <c r="C45" i="27"/>
  <c r="G45" i="27" s="1"/>
  <c r="Q45" i="27"/>
  <c r="C134" i="27"/>
  <c r="Q134" i="27"/>
  <c r="Q141" i="27"/>
  <c r="C141" i="27"/>
  <c r="C14" i="27"/>
  <c r="Q14" i="27"/>
  <c r="C24" i="27"/>
  <c r="Q24" i="27"/>
  <c r="Q47" i="27"/>
  <c r="C47" i="27"/>
  <c r="G47" i="27" s="1"/>
  <c r="Q129" i="27"/>
  <c r="C129" i="27"/>
  <c r="G129" i="27" s="1"/>
  <c r="C107" i="27"/>
  <c r="Q107" i="27"/>
  <c r="Q132" i="27"/>
  <c r="C132" i="27"/>
  <c r="G132" i="27" s="1"/>
  <c r="Q12" i="27"/>
  <c r="C12" i="27"/>
  <c r="G12" i="27" s="1"/>
  <c r="Q109" i="27"/>
  <c r="C109" i="27"/>
  <c r="Q37" i="27"/>
  <c r="C37" i="27"/>
  <c r="G37" i="27" s="1"/>
  <c r="M32" i="17"/>
  <c r="M18" i="17"/>
  <c r="M54" i="17"/>
  <c r="M22" i="17"/>
  <c r="M35" i="17"/>
  <c r="M41" i="17"/>
  <c r="M30" i="17"/>
  <c r="M43" i="17"/>
  <c r="M36" i="17"/>
  <c r="M33" i="17"/>
  <c r="M48" i="17"/>
  <c r="M15" i="17"/>
  <c r="M21" i="17"/>
  <c r="M52" i="17"/>
  <c r="M24" i="17"/>
  <c r="M19" i="17"/>
  <c r="M29" i="17"/>
  <c r="M17" i="17"/>
  <c r="M45" i="17"/>
  <c r="M37" i="17"/>
  <c r="M47" i="17"/>
  <c r="M27" i="17"/>
  <c r="M23" i="17"/>
  <c r="M39" i="17"/>
  <c r="M38" i="17"/>
  <c r="M13" i="17"/>
  <c r="M49" i="17"/>
  <c r="M25" i="17"/>
  <c r="M20" i="17"/>
  <c r="M34" i="17"/>
  <c r="M44" i="17"/>
  <c r="M55" i="17"/>
  <c r="M31" i="17"/>
  <c r="M56" i="17"/>
  <c r="M51" i="17"/>
  <c r="M26" i="17"/>
  <c r="M53" i="17"/>
  <c r="M57" i="11"/>
  <c r="M57" i="18"/>
  <c r="L49" i="9"/>
  <c r="J49" i="9" s="1"/>
  <c r="I49" i="9" s="1"/>
  <c r="G49" i="9" s="1"/>
  <c r="F49" i="9" s="1"/>
  <c r="E49" i="9" s="1"/>
  <c r="D49" i="9" s="1"/>
  <c r="D14" i="5"/>
  <c r="D15" i="5"/>
  <c r="D16" i="5"/>
  <c r="D4" i="5"/>
  <c r="E10" i="5"/>
  <c r="D6" i="5"/>
  <c r="D9" i="5"/>
  <c r="E9" i="5"/>
  <c r="E16" i="5"/>
  <c r="E11" i="5"/>
  <c r="E14" i="5"/>
  <c r="D13" i="5"/>
  <c r="D17" i="5"/>
  <c r="E5" i="5"/>
  <c r="D18" i="5"/>
  <c r="D5" i="5"/>
  <c r="E7" i="5"/>
  <c r="E19" i="5"/>
  <c r="D7" i="5"/>
  <c r="E8" i="5"/>
  <c r="D8" i="5"/>
  <c r="E6" i="5"/>
  <c r="D10" i="5"/>
  <c r="E4" i="5"/>
  <c r="E12" i="5"/>
  <c r="E17" i="5"/>
  <c r="D11" i="5"/>
  <c r="D19" i="5"/>
  <c r="E18" i="5"/>
  <c r="D12" i="5"/>
  <c r="E13" i="5"/>
  <c r="E15" i="5"/>
  <c r="A21" i="5"/>
  <c r="A22" i="5" s="1"/>
  <c r="A23" i="5" s="1"/>
  <c r="D20" i="5"/>
  <c r="E20" i="5"/>
  <c r="A21" i="13"/>
  <c r="L35" i="16"/>
  <c r="C117" i="3" s="1"/>
  <c r="C120" i="3" s="1"/>
  <c r="H65" i="7"/>
  <c r="H29" i="7" s="1"/>
  <c r="H61" i="7"/>
  <c r="F29" i="15"/>
  <c r="A30" i="15"/>
  <c r="K109" i="9"/>
  <c r="K69" i="9" s="1"/>
  <c r="J40" i="9" s="1"/>
  <c r="K105" i="9"/>
  <c r="A12" i="15"/>
  <c r="A40" i="15"/>
  <c r="F39" i="15"/>
  <c r="G64" i="9"/>
  <c r="A65" i="9"/>
  <c r="B65" i="9"/>
  <c r="A17" i="6"/>
  <c r="C17" i="6" s="1"/>
  <c r="G39" i="12"/>
  <c r="A40" i="12"/>
  <c r="G40" i="12" s="1"/>
  <c r="A27" i="7"/>
  <c r="J26" i="7"/>
  <c r="G10" i="12"/>
  <c r="A11" i="12"/>
  <c r="B196" i="3"/>
  <c r="Q64" i="27" l="1"/>
  <c r="C64" i="27"/>
  <c r="G64" i="27" s="1"/>
  <c r="Q96" i="27"/>
  <c r="C96" i="27"/>
  <c r="Q82" i="27"/>
  <c r="C82" i="27"/>
  <c r="G82" i="27" s="1"/>
  <c r="Q94" i="27"/>
  <c r="C94" i="27"/>
  <c r="Q95" i="27"/>
  <c r="C95" i="27"/>
  <c r="C93" i="27"/>
  <c r="Q93" i="27"/>
  <c r="C150" i="27"/>
  <c r="Q98" i="27"/>
  <c r="C98" i="27"/>
  <c r="G98" i="27" s="1"/>
  <c r="C69" i="27"/>
  <c r="Q69" i="27"/>
  <c r="C75" i="27"/>
  <c r="Q75" i="27"/>
  <c r="Q56" i="27"/>
  <c r="C56" i="27"/>
  <c r="Q150" i="27"/>
  <c r="C67" i="27"/>
  <c r="G67" i="27" s="1"/>
  <c r="Q67" i="27"/>
  <c r="C91" i="27"/>
  <c r="G91" i="27" s="1"/>
  <c r="Q91" i="27"/>
  <c r="C80" i="27"/>
  <c r="G80" i="27" s="1"/>
  <c r="Q80" i="27"/>
  <c r="Q90" i="27"/>
  <c r="C90" i="27"/>
  <c r="Q89" i="27"/>
  <c r="C89" i="27"/>
  <c r="C78" i="27"/>
  <c r="Q78" i="27"/>
  <c r="Q61" i="27"/>
  <c r="C61" i="27"/>
  <c r="C92" i="27"/>
  <c r="G92" i="27" s="1"/>
  <c r="Q92" i="27"/>
  <c r="C57" i="27"/>
  <c r="Q57" i="27"/>
  <c r="C97" i="27"/>
  <c r="Q97" i="27"/>
  <c r="C79" i="27"/>
  <c r="Q79" i="27"/>
  <c r="Q85" i="27"/>
  <c r="C85" i="27"/>
  <c r="C66" i="27"/>
  <c r="Q66" i="27"/>
  <c r="C88" i="27"/>
  <c r="Q88" i="27"/>
  <c r="Q74" i="27"/>
  <c r="C74" i="27"/>
  <c r="Q68" i="27"/>
  <c r="C68" i="27"/>
  <c r="C58" i="27"/>
  <c r="Q58" i="27"/>
  <c r="Q73" i="27"/>
  <c r="C73" i="27"/>
  <c r="Q86" i="27"/>
  <c r="C86" i="27"/>
  <c r="C87" i="27"/>
  <c r="Q87" i="27"/>
  <c r="Q72" i="27"/>
  <c r="C72" i="27"/>
  <c r="Q60" i="27"/>
  <c r="C60" i="27"/>
  <c r="G60" i="27" s="1"/>
  <c r="C63" i="27"/>
  <c r="G63" i="27" s="1"/>
  <c r="Q63" i="27"/>
  <c r="C76" i="27"/>
  <c r="Q76" i="27"/>
  <c r="C59" i="27"/>
  <c r="G59" i="27" s="1"/>
  <c r="Q59" i="27"/>
  <c r="C83" i="27"/>
  <c r="Q83" i="27"/>
  <c r="C54" i="27"/>
  <c r="Q54" i="27"/>
  <c r="C50" i="27"/>
  <c r="C70" i="27"/>
  <c r="G70" i="27" s="1"/>
  <c r="Q70" i="27"/>
  <c r="Q55" i="27"/>
  <c r="C55" i="27"/>
  <c r="Q81" i="27"/>
  <c r="C81" i="27"/>
  <c r="Q65" i="27"/>
  <c r="C65" i="27"/>
  <c r="G65" i="27" s="1"/>
  <c r="C62" i="27"/>
  <c r="Q62" i="27"/>
  <c r="C71" i="27"/>
  <c r="Q71" i="27"/>
  <c r="Q77" i="27"/>
  <c r="C77" i="27"/>
  <c r="G77" i="27" s="1"/>
  <c r="Q50" i="27"/>
  <c r="M57" i="17"/>
  <c r="D21" i="5"/>
  <c r="A22" i="13"/>
  <c r="A23" i="13" s="1"/>
  <c r="A24" i="13" s="1"/>
  <c r="A25" i="13" s="1"/>
  <c r="A26" i="13" s="1"/>
  <c r="A27" i="13" s="1"/>
  <c r="A28" i="13" s="1"/>
  <c r="A29" i="13" s="1"/>
  <c r="A30" i="13" s="1"/>
  <c r="A31" i="13" s="1"/>
  <c r="A32" i="13" s="1"/>
  <c r="A33" i="13" s="1"/>
  <c r="A34" i="13" s="1"/>
  <c r="A35" i="13" s="1"/>
  <c r="A36" i="13" s="1"/>
  <c r="E21" i="5"/>
  <c r="E22" i="5"/>
  <c r="D22" i="5"/>
  <c r="L40" i="9"/>
  <c r="A18" i="6"/>
  <c r="C18" i="6" s="1"/>
  <c r="A41" i="15"/>
  <c r="F40" i="15"/>
  <c r="H62" i="7"/>
  <c r="D12" i="15"/>
  <c r="A13" i="15"/>
  <c r="A28" i="7"/>
  <c r="J27" i="7"/>
  <c r="B28" i="7"/>
  <c r="A66" i="9"/>
  <c r="B66" i="9"/>
  <c r="F30" i="15"/>
  <c r="A31" i="15"/>
  <c r="C125" i="3"/>
  <c r="C127" i="3" s="1"/>
  <c r="G11" i="12"/>
  <c r="A12" i="12"/>
  <c r="A37" i="13" l="1"/>
  <c r="C100" i="27"/>
  <c r="Q100" i="27"/>
  <c r="D23" i="5"/>
  <c r="E23" i="5"/>
  <c r="A24" i="5"/>
  <c r="D41" i="15"/>
  <c r="A42" i="15"/>
  <c r="A13" i="12"/>
  <c r="G12" i="12"/>
  <c r="J66" i="9"/>
  <c r="A67" i="9"/>
  <c r="J28" i="7"/>
  <c r="A29" i="7"/>
  <c r="H27" i="7"/>
  <c r="K106" i="9"/>
  <c r="L48" i="9" s="1"/>
  <c r="H63" i="7"/>
  <c r="A19" i="6"/>
  <c r="C19" i="6" s="1"/>
  <c r="A32" i="15"/>
  <c r="F31" i="15"/>
  <c r="A14" i="15"/>
  <c r="D13" i="15"/>
  <c r="A38" i="13" l="1"/>
  <c r="A39" i="13" s="1"/>
  <c r="A40" i="13" s="1"/>
  <c r="A41" i="13" s="1"/>
  <c r="A42" i="13" s="1"/>
  <c r="A43" i="13" s="1"/>
  <c r="A44" i="13" s="1"/>
  <c r="A45" i="13" s="1"/>
  <c r="A46" i="13" s="1"/>
  <c r="A47" i="13" s="1"/>
  <c r="A48" i="13" s="1"/>
  <c r="A49" i="13" s="1"/>
  <c r="A50" i="13" s="1"/>
  <c r="A25" i="5"/>
  <c r="D24" i="5"/>
  <c r="E24" i="5"/>
  <c r="F32" i="15"/>
  <c r="A33" i="15"/>
  <c r="F33" i="15" s="1"/>
  <c r="J48" i="9"/>
  <c r="I48" i="9" s="1"/>
  <c r="G48" i="9" s="1"/>
  <c r="F48" i="9" s="1"/>
  <c r="E48" i="9" s="1"/>
  <c r="D48" i="9" s="1"/>
  <c r="B68" i="9"/>
  <c r="J67" i="9"/>
  <c r="A68" i="9"/>
  <c r="A43" i="15"/>
  <c r="D42" i="15"/>
  <c r="A20" i="6"/>
  <c r="C20" i="6" s="1"/>
  <c r="A14" i="12"/>
  <c r="G13" i="12"/>
  <c r="K67" i="9"/>
  <c r="K68" i="9" s="1"/>
  <c r="K70" i="9" s="1"/>
  <c r="K74" i="9" s="1"/>
  <c r="K107" i="9"/>
  <c r="A15" i="15"/>
  <c r="D15" i="15" s="1"/>
  <c r="D14" i="15"/>
  <c r="B30" i="7"/>
  <c r="J29" i="7"/>
  <c r="A30" i="7"/>
  <c r="H28" i="7"/>
  <c r="H30" i="7" s="1"/>
  <c r="H34" i="7" s="1"/>
  <c r="E36" i="12"/>
  <c r="E42" i="15"/>
  <c r="A51" i="13" l="1"/>
  <c r="A26" i="5"/>
  <c r="E25" i="5"/>
  <c r="D25" i="5"/>
  <c r="J30" i="7"/>
  <c r="A31" i="7"/>
  <c r="A15" i="12"/>
  <c r="G14" i="12"/>
  <c r="A44" i="15"/>
  <c r="D43" i="15"/>
  <c r="K76" i="9"/>
  <c r="K77" i="9" s="1"/>
  <c r="K78" i="9" s="1"/>
  <c r="A21" i="6"/>
  <c r="C21" i="6" s="1"/>
  <c r="A69" i="9"/>
  <c r="J68" i="9"/>
  <c r="H36" i="7"/>
  <c r="H37" i="7" s="1"/>
  <c r="H38" i="7" s="1"/>
  <c r="A52" i="13" l="1"/>
  <c r="A53" i="13" s="1"/>
  <c r="A27" i="5"/>
  <c r="D26" i="5"/>
  <c r="E26" i="5"/>
  <c r="K79" i="9"/>
  <c r="J69" i="9"/>
  <c r="B70" i="9"/>
  <c r="A70" i="9"/>
  <c r="H39" i="7"/>
  <c r="H40" i="7" s="1"/>
  <c r="K80" i="9" s="1"/>
  <c r="K81" i="9" s="1"/>
  <c r="A32" i="7"/>
  <c r="A33" i="7" s="1"/>
  <c r="A22" i="6"/>
  <c r="C22" i="6" s="1"/>
  <c r="J43" i="9"/>
  <c r="A45" i="15"/>
  <c r="D44" i="15"/>
  <c r="B45" i="15"/>
  <c r="G15" i="12"/>
  <c r="A16" i="12"/>
  <c r="A54" i="13" l="1"/>
  <c r="B33" i="7"/>
  <c r="H41" i="7"/>
  <c r="H43" i="7" s="1"/>
  <c r="H44" i="7" s="1"/>
  <c r="K84" i="9" s="1"/>
  <c r="A28" i="5"/>
  <c r="E27" i="5"/>
  <c r="D27" i="5"/>
  <c r="K83" i="9"/>
  <c r="C155" i="3"/>
  <c r="J33" i="7"/>
  <c r="A34" i="7"/>
  <c r="B34" i="7"/>
  <c r="G16" i="12"/>
  <c r="A17" i="12"/>
  <c r="A46" i="15"/>
  <c r="F46" i="15" s="1"/>
  <c r="F45" i="15"/>
  <c r="J51" i="9"/>
  <c r="L43" i="9"/>
  <c r="L51" i="9" s="1"/>
  <c r="J70" i="9"/>
  <c r="A71" i="9"/>
  <c r="A23" i="6"/>
  <c r="C23" i="6" s="1"/>
  <c r="A55" i="13" l="1"/>
  <c r="A56" i="13" s="1"/>
  <c r="A57" i="13" s="1"/>
  <c r="A58" i="13" s="1"/>
  <c r="A59" i="13" s="1"/>
  <c r="A60" i="13" s="1"/>
  <c r="A61" i="13" s="1"/>
  <c r="A62" i="13" s="1"/>
  <c r="A63" i="13" s="1"/>
  <c r="A64" i="13" s="1"/>
  <c r="A65" i="13" s="1"/>
  <c r="A66" i="13" s="1"/>
  <c r="A67" i="13" s="1"/>
  <c r="A68" i="13" s="1"/>
  <c r="A69" i="13" s="1"/>
  <c r="A70" i="13" s="1"/>
  <c r="A71" i="13" s="1"/>
  <c r="E28" i="5"/>
  <c r="A29" i="5"/>
  <c r="D28" i="5"/>
  <c r="A18" i="12"/>
  <c r="G17" i="12"/>
  <c r="G71" i="9"/>
  <c r="A72" i="9"/>
  <c r="H45" i="7"/>
  <c r="I51" i="9"/>
  <c r="G51" i="9" s="1"/>
  <c r="F51" i="9" s="1"/>
  <c r="E51" i="9" s="1"/>
  <c r="D51" i="9" s="1"/>
  <c r="B36" i="7"/>
  <c r="J34" i="7"/>
  <c r="A36" i="7"/>
  <c r="A24" i="6"/>
  <c r="C24" i="6" s="1"/>
  <c r="C158" i="3"/>
  <c r="C157" i="3"/>
  <c r="K85" i="9"/>
  <c r="A72" i="13" l="1"/>
  <c r="A73" i="13" s="1"/>
  <c r="A74" i="13" s="1"/>
  <c r="C159" i="3"/>
  <c r="D29" i="5"/>
  <c r="E29" i="5"/>
  <c r="A30" i="5"/>
  <c r="K87" i="9"/>
  <c r="K88" i="9" s="1"/>
  <c r="A73" i="9"/>
  <c r="G72" i="9"/>
  <c r="H47" i="7"/>
  <c r="H48" i="7" s="1"/>
  <c r="H49" i="7" s="1"/>
  <c r="K89" i="9" s="1"/>
  <c r="L47" i="9" s="1"/>
  <c r="B73" i="9"/>
  <c r="A25" i="6"/>
  <c r="C25" i="6" s="1"/>
  <c r="A19" i="12"/>
  <c r="G18" i="12"/>
  <c r="A37" i="7"/>
  <c r="J36" i="7"/>
  <c r="B37" i="7"/>
  <c r="E43" i="15" l="1"/>
  <c r="L179" i="16"/>
  <c r="E37" i="12"/>
  <c r="A75" i="13"/>
  <c r="A76" i="13" s="1"/>
  <c r="A77" i="13" s="1"/>
  <c r="A78" i="13" s="1"/>
  <c r="A79" i="13" s="1"/>
  <c r="A80" i="13" s="1"/>
  <c r="A81" i="13" s="1"/>
  <c r="A82" i="13" s="1"/>
  <c r="A83" i="13" s="1"/>
  <c r="A84" i="13" s="1"/>
  <c r="A85" i="13" s="1"/>
  <c r="A86" i="13" s="1"/>
  <c r="A87" i="13" s="1"/>
  <c r="A88" i="13" s="1"/>
  <c r="A89" i="13" s="1"/>
  <c r="A90" i="13" s="1"/>
  <c r="A91" i="13" s="1"/>
  <c r="A92" i="13" s="1"/>
  <c r="A93" i="13" s="1"/>
  <c r="A94" i="13" s="1"/>
  <c r="D30" i="5"/>
  <c r="A31" i="5"/>
  <c r="E30" i="5"/>
  <c r="A26" i="6"/>
  <c r="C26" i="6" s="1"/>
  <c r="J37" i="7"/>
  <c r="B38" i="7"/>
  <c r="A38" i="7"/>
  <c r="J47" i="9"/>
  <c r="I47" i="9" s="1"/>
  <c r="G47" i="9" s="1"/>
  <c r="F47" i="9" s="1"/>
  <c r="E47" i="9" s="1"/>
  <c r="D47" i="9" s="1"/>
  <c r="C144" i="3"/>
  <c r="H50" i="7"/>
  <c r="J73" i="9"/>
  <c r="A74" i="9"/>
  <c r="B74" i="9"/>
  <c r="K90" i="9"/>
  <c r="G19" i="12"/>
  <c r="A20" i="12"/>
  <c r="A95" i="13" l="1"/>
  <c r="A32" i="5"/>
  <c r="D31" i="5"/>
  <c r="E31" i="5"/>
  <c r="A76" i="9"/>
  <c r="J74" i="9"/>
  <c r="B76" i="9"/>
  <c r="C146" i="3"/>
  <c r="C147" i="3"/>
  <c r="B39" i="7"/>
  <c r="J38" i="7"/>
  <c r="A39" i="7"/>
  <c r="G20" i="12"/>
  <c r="A21" i="12"/>
  <c r="J42" i="9"/>
  <c r="K92" i="9"/>
  <c r="K94" i="9" s="1"/>
  <c r="A27" i="6"/>
  <c r="C27" i="6" s="1"/>
  <c r="C148" i="3" l="1"/>
  <c r="A96" i="13"/>
  <c r="A97" i="13" s="1"/>
  <c r="A98" i="13" s="1"/>
  <c r="A99" i="13" s="1"/>
  <c r="A100" i="13" s="1"/>
  <c r="A101" i="13" s="1"/>
  <c r="A102" i="13" s="1"/>
  <c r="A103" i="13" s="1"/>
  <c r="A104" i="13" s="1"/>
  <c r="A105" i="13" s="1"/>
  <c r="A106" i="13" s="1"/>
  <c r="A107" i="13" s="1"/>
  <c r="E32" i="5"/>
  <c r="A33" i="5"/>
  <c r="D32" i="5"/>
  <c r="A28" i="6"/>
  <c r="C28" i="6" s="1"/>
  <c r="A22" i="12"/>
  <c r="G21" i="12"/>
  <c r="B40" i="7"/>
  <c r="A40" i="7"/>
  <c r="J39" i="7"/>
  <c r="J50" i="9"/>
  <c r="L42" i="9"/>
  <c r="L50" i="9" s="1"/>
  <c r="J76" i="9"/>
  <c r="A77" i="9"/>
  <c r="B77" i="9"/>
  <c r="E44" i="15" l="1"/>
  <c r="G45" i="15" s="1"/>
  <c r="G46" i="15" s="1"/>
  <c r="G18" i="15" s="1"/>
  <c r="G19" i="15" s="1"/>
  <c r="E38" i="12"/>
  <c r="H39" i="12" s="1"/>
  <c r="H40" i="12" s="1"/>
  <c r="H15" i="12" s="1"/>
  <c r="H16" i="12" s="1"/>
  <c r="H17" i="12" s="1"/>
  <c r="H24" i="12" s="1"/>
  <c r="H27" i="12" s="1"/>
  <c r="L177" i="16"/>
  <c r="A108" i="13"/>
  <c r="A34" i="5"/>
  <c r="E33" i="5"/>
  <c r="D33" i="5"/>
  <c r="A29" i="6"/>
  <c r="C29" i="6" s="1"/>
  <c r="B41" i="7"/>
  <c r="A41" i="7"/>
  <c r="J40" i="7"/>
  <c r="A23" i="12"/>
  <c r="G22" i="12"/>
  <c r="I50" i="9"/>
  <c r="G50" i="9" s="1"/>
  <c r="F50" i="9" s="1"/>
  <c r="E50" i="9" s="1"/>
  <c r="D50" i="9" s="1"/>
  <c r="B78" i="9"/>
  <c r="J77" i="9"/>
  <c r="A78" i="9"/>
  <c r="E21" i="15" l="1"/>
  <c r="G22" i="15" s="1"/>
  <c r="G20" i="15"/>
  <c r="A109" i="13"/>
  <c r="A110" i="13" s="1"/>
  <c r="A111" i="13" s="1"/>
  <c r="E34" i="5"/>
  <c r="A35" i="5"/>
  <c r="D34" i="5"/>
  <c r="A43" i="7"/>
  <c r="B43" i="7"/>
  <c r="J41" i="7"/>
  <c r="A24" i="12"/>
  <c r="G23" i="12"/>
  <c r="J78" i="9"/>
  <c r="B79" i="9"/>
  <c r="A79" i="9"/>
  <c r="A30" i="6"/>
  <c r="C30" i="6" s="1"/>
  <c r="G23" i="15" l="1"/>
  <c r="G30" i="15" s="1"/>
  <c r="G33" i="15" s="1"/>
  <c r="I64" i="2" s="1"/>
  <c r="D183" i="16" s="1"/>
  <c r="A112" i="13"/>
  <c r="A113" i="13" s="1"/>
  <c r="A114" i="13" s="1"/>
  <c r="A36" i="5"/>
  <c r="D35" i="5"/>
  <c r="E35" i="5"/>
  <c r="A25" i="12"/>
  <c r="G24" i="12"/>
  <c r="A31" i="6"/>
  <c r="C31" i="6" s="1"/>
  <c r="J79" i="9"/>
  <c r="B80" i="9"/>
  <c r="A80" i="9"/>
  <c r="A44" i="7"/>
  <c r="J43" i="7"/>
  <c r="B44" i="7"/>
  <c r="L183" i="16" l="1"/>
  <c r="L185" i="16" s="1"/>
  <c r="L29" i="16" s="1"/>
  <c r="L37" i="16" s="1"/>
  <c r="B323" i="27" s="1"/>
  <c r="D323" i="27" s="1"/>
  <c r="F323" i="27" s="1"/>
  <c r="B19" i="28"/>
  <c r="B207" i="27"/>
  <c r="D207" i="27" s="1"/>
  <c r="F207" i="27" s="1"/>
  <c r="G207" i="27" s="1"/>
  <c r="B185" i="27"/>
  <c r="D185" i="27" s="1"/>
  <c r="F185" i="27" s="1"/>
  <c r="G185" i="27" s="1"/>
  <c r="B69" i="27"/>
  <c r="D69" i="27" s="1"/>
  <c r="F69" i="27" s="1"/>
  <c r="G69" i="27" s="1"/>
  <c r="B47" i="27"/>
  <c r="D47" i="27" s="1"/>
  <c r="F47" i="27" s="1"/>
  <c r="B119" i="27"/>
  <c r="D119" i="27" s="1"/>
  <c r="F119" i="27" s="1"/>
  <c r="G119" i="27" s="1"/>
  <c r="B122" i="27"/>
  <c r="D122" i="27" s="1"/>
  <c r="F122" i="27" s="1"/>
  <c r="B157" i="27"/>
  <c r="D157" i="27" s="1"/>
  <c r="F157" i="27" s="1"/>
  <c r="G157" i="27" s="1"/>
  <c r="B80" i="27"/>
  <c r="D80" i="27" s="1"/>
  <c r="F80" i="27" s="1"/>
  <c r="B312" i="27"/>
  <c r="D312" i="27" s="1"/>
  <c r="F312" i="27" s="1"/>
  <c r="B290" i="27"/>
  <c r="D290" i="27" s="1"/>
  <c r="F290" i="27" s="1"/>
  <c r="G290" i="27" s="1"/>
  <c r="B174" i="27"/>
  <c r="D174" i="27" s="1"/>
  <c r="F174" i="27" s="1"/>
  <c r="G174" i="27" s="1"/>
  <c r="B58" i="27"/>
  <c r="D58" i="27" s="1"/>
  <c r="F58" i="27" s="1"/>
  <c r="G58" i="27" s="1"/>
  <c r="B36" i="27"/>
  <c r="D36" i="27" s="1"/>
  <c r="F36" i="27" s="1"/>
  <c r="G36" i="27" s="1"/>
  <c r="B189" i="27"/>
  <c r="D189" i="27" s="1"/>
  <c r="F189" i="27" s="1"/>
  <c r="G189" i="27" s="1"/>
  <c r="B192" i="27"/>
  <c r="D192" i="27" s="1"/>
  <c r="F192" i="27" s="1"/>
  <c r="G192" i="27" s="1"/>
  <c r="B227" i="27"/>
  <c r="D227" i="27" s="1"/>
  <c r="F227" i="27" s="1"/>
  <c r="G227" i="27" s="1"/>
  <c r="B172" i="27"/>
  <c r="D172" i="27" s="1"/>
  <c r="F172" i="27" s="1"/>
  <c r="G172" i="27" s="1"/>
  <c r="B372" i="27"/>
  <c r="D372" i="27" s="1"/>
  <c r="F372" i="27" s="1"/>
  <c r="B255" i="27"/>
  <c r="D255" i="27" s="1"/>
  <c r="F255" i="27" s="1"/>
  <c r="G255" i="27" s="1"/>
  <c r="B233" i="27"/>
  <c r="D233" i="27" s="1"/>
  <c r="F233" i="27" s="1"/>
  <c r="G233" i="27" s="1"/>
  <c r="B117" i="27"/>
  <c r="D117" i="27" s="1"/>
  <c r="F117" i="27" s="1"/>
  <c r="G117" i="27" s="1"/>
  <c r="B95" i="27"/>
  <c r="D95" i="27" s="1"/>
  <c r="F95" i="27" s="1"/>
  <c r="G95" i="27" s="1"/>
  <c r="B223" i="27"/>
  <c r="D223" i="27" s="1"/>
  <c r="F223" i="27" s="1"/>
  <c r="G223" i="27" s="1"/>
  <c r="B226" i="27"/>
  <c r="D226" i="27" s="1"/>
  <c r="F226" i="27" s="1"/>
  <c r="G226" i="27" s="1"/>
  <c r="B135" i="27"/>
  <c r="D135" i="27" s="1"/>
  <c r="F135" i="27" s="1"/>
  <c r="G135" i="27" s="1"/>
  <c r="B34" i="27"/>
  <c r="D34" i="27" s="1"/>
  <c r="F34" i="27" s="1"/>
  <c r="G34" i="27" s="1"/>
  <c r="B314" i="27"/>
  <c r="D314" i="27" s="1"/>
  <c r="F314" i="27" s="1"/>
  <c r="B292" i="27"/>
  <c r="D292" i="27" s="1"/>
  <c r="F292" i="27" s="1"/>
  <c r="G292" i="27" s="1"/>
  <c r="B176" i="27"/>
  <c r="D176" i="27" s="1"/>
  <c r="F176" i="27" s="1"/>
  <c r="B60" i="27"/>
  <c r="D60" i="27" s="1"/>
  <c r="F60" i="27" s="1"/>
  <c r="B38" i="27"/>
  <c r="D38" i="27" s="1"/>
  <c r="F38" i="27" s="1"/>
  <c r="B73" i="27"/>
  <c r="D73" i="27" s="1"/>
  <c r="F73" i="27" s="1"/>
  <c r="G73" i="27" s="1"/>
  <c r="B146" i="27"/>
  <c r="D146" i="27" s="1"/>
  <c r="F146" i="27" s="1"/>
  <c r="G146" i="27" s="1"/>
  <c r="B43" i="27"/>
  <c r="D43" i="27" s="1"/>
  <c r="F43" i="27" s="1"/>
  <c r="G43" i="27" s="1"/>
  <c r="B375" i="27"/>
  <c r="D375" i="27" s="1"/>
  <c r="F375" i="27" s="1"/>
  <c r="B258" i="27"/>
  <c r="D258" i="27" s="1"/>
  <c r="F258" i="27" s="1"/>
  <c r="G258" i="27" s="1"/>
  <c r="B236" i="27"/>
  <c r="D236" i="27" s="1"/>
  <c r="F236" i="27" s="1"/>
  <c r="G236" i="27" s="1"/>
  <c r="B120" i="27"/>
  <c r="D120" i="27" s="1"/>
  <c r="F120" i="27" s="1"/>
  <c r="G120" i="27" s="1"/>
  <c r="B98" i="27"/>
  <c r="D98" i="27" s="1"/>
  <c r="F98" i="27" s="1"/>
  <c r="B388" i="27"/>
  <c r="D388" i="27" s="1"/>
  <c r="F388" i="27" s="1"/>
  <c r="B271" i="27"/>
  <c r="D271" i="27" s="1"/>
  <c r="F271" i="27" s="1"/>
  <c r="G271" i="27" s="1"/>
  <c r="B155" i="27"/>
  <c r="D155" i="27" s="1"/>
  <c r="F155" i="27" s="1"/>
  <c r="G155" i="27" s="1"/>
  <c r="B133" i="27"/>
  <c r="D133" i="27" s="1"/>
  <c r="F133" i="27" s="1"/>
  <c r="G133" i="27" s="1"/>
  <c r="B17" i="27"/>
  <c r="D17" i="27" s="1"/>
  <c r="F17" i="27" s="1"/>
  <c r="G17" i="27" s="1"/>
  <c r="B296" i="27"/>
  <c r="D296" i="27" s="1"/>
  <c r="F296" i="27" s="1"/>
  <c r="G296" i="27" s="1"/>
  <c r="B169" i="27"/>
  <c r="D169" i="27" s="1"/>
  <c r="F169" i="27" s="1"/>
  <c r="B114" i="27"/>
  <c r="D114" i="27" s="1"/>
  <c r="F114" i="27" s="1"/>
  <c r="G114" i="27" s="1"/>
  <c r="B308" i="27"/>
  <c r="D308" i="27" s="1"/>
  <c r="F308" i="27" s="1"/>
  <c r="G308" i="27" s="1"/>
  <c r="B286" i="27"/>
  <c r="D286" i="27" s="1"/>
  <c r="F286" i="27" s="1"/>
  <c r="B170" i="27"/>
  <c r="D170" i="27" s="1"/>
  <c r="F170" i="27" s="1"/>
  <c r="B148" i="27"/>
  <c r="D148" i="27" s="1"/>
  <c r="F148" i="27" s="1"/>
  <c r="G148" i="27" s="1"/>
  <c r="B32" i="27"/>
  <c r="D32" i="27" s="1"/>
  <c r="F32" i="27" s="1"/>
  <c r="B309" i="27"/>
  <c r="D309" i="27" s="1"/>
  <c r="F309" i="27" s="1"/>
  <c r="G309" i="27" s="1"/>
  <c r="B287" i="27"/>
  <c r="D287" i="27" s="1"/>
  <c r="F287" i="27" s="1"/>
  <c r="G287" i="27" s="1"/>
  <c r="B171" i="27"/>
  <c r="D171" i="27" s="1"/>
  <c r="F171" i="27" s="1"/>
  <c r="G171" i="27" s="1"/>
  <c r="B55" i="27"/>
  <c r="D55" i="27" s="1"/>
  <c r="F55" i="27" s="1"/>
  <c r="G55" i="27" s="1"/>
  <c r="B33" i="27"/>
  <c r="D33" i="27" s="1"/>
  <c r="F33" i="27" s="1"/>
  <c r="G33" i="27" s="1"/>
  <c r="B184" i="27"/>
  <c r="D184" i="27" s="1"/>
  <c r="F184" i="27" s="1"/>
  <c r="G184" i="27" s="1"/>
  <c r="B104" i="27"/>
  <c r="D104" i="27" s="1"/>
  <c r="F104" i="27" s="1"/>
  <c r="G104" i="27" s="1"/>
  <c r="E93" i="24"/>
  <c r="E78" i="21"/>
  <c r="E108" i="23"/>
  <c r="E108" i="21"/>
  <c r="E76" i="21"/>
  <c r="E103" i="24"/>
  <c r="E81" i="26"/>
  <c r="E100" i="26"/>
  <c r="E91" i="25"/>
  <c r="E89" i="24"/>
  <c r="E110" i="24"/>
  <c r="E105" i="21"/>
  <c r="E90" i="26"/>
  <c r="E71" i="26"/>
  <c r="E98" i="26"/>
  <c r="E89" i="25"/>
  <c r="E86" i="25"/>
  <c r="E88" i="25"/>
  <c r="E77" i="23"/>
  <c r="E72" i="24"/>
  <c r="B358" i="27"/>
  <c r="D358" i="27" s="1"/>
  <c r="F358" i="27" s="1"/>
  <c r="B335" i="27"/>
  <c r="D335" i="27" s="1"/>
  <c r="F335" i="27" s="1"/>
  <c r="B219" i="27"/>
  <c r="D219" i="27" s="1"/>
  <c r="F219" i="27" s="1"/>
  <c r="G219" i="27" s="1"/>
  <c r="B197" i="27"/>
  <c r="D197" i="27" s="1"/>
  <c r="F197" i="27" s="1"/>
  <c r="B81" i="27"/>
  <c r="D81" i="27" s="1"/>
  <c r="F81" i="27" s="1"/>
  <c r="G81" i="27" s="1"/>
  <c r="B374" i="27"/>
  <c r="D374" i="27" s="1"/>
  <c r="F374" i="27" s="1"/>
  <c r="B61" i="27"/>
  <c r="D61" i="27" s="1"/>
  <c r="F61" i="27" s="1"/>
  <c r="G61" i="27" s="1"/>
  <c r="B88" i="27"/>
  <c r="D88" i="27" s="1"/>
  <c r="F88" i="27" s="1"/>
  <c r="G88" i="27" s="1"/>
  <c r="B193" i="27"/>
  <c r="D193" i="27" s="1"/>
  <c r="F193" i="27" s="1"/>
  <c r="G193" i="27" s="1"/>
  <c r="B20" i="28"/>
  <c r="B324" i="27"/>
  <c r="D324" i="27" s="1"/>
  <c r="F324" i="27" s="1"/>
  <c r="B208" i="27"/>
  <c r="D208" i="27" s="1"/>
  <c r="F208" i="27" s="1"/>
  <c r="G208" i="27" s="1"/>
  <c r="B186" i="27"/>
  <c r="D186" i="27" s="1"/>
  <c r="F186" i="27" s="1"/>
  <c r="G186" i="27" s="1"/>
  <c r="B70" i="27"/>
  <c r="D70" i="27" s="1"/>
  <c r="F70" i="27" s="1"/>
  <c r="B48" i="27"/>
  <c r="D48" i="27" s="1"/>
  <c r="F48" i="27" s="1"/>
  <c r="G48" i="27" s="1"/>
  <c r="B143" i="27"/>
  <c r="D143" i="27" s="1"/>
  <c r="F143" i="27" s="1"/>
  <c r="G143" i="27" s="1"/>
  <c r="B64" i="27"/>
  <c r="D64" i="27" s="1"/>
  <c r="F64" i="27" s="1"/>
  <c r="B111" i="27"/>
  <c r="D111" i="27" s="1"/>
  <c r="F111" i="27" s="1"/>
  <c r="G111" i="27" s="1"/>
  <c r="B196" i="27"/>
  <c r="D196" i="27" s="1"/>
  <c r="F196" i="27" s="1"/>
  <c r="B384" i="27"/>
  <c r="D384" i="27" s="1"/>
  <c r="F384" i="27" s="1"/>
  <c r="B267" i="27"/>
  <c r="D267" i="27" s="1"/>
  <c r="F267" i="27" s="1"/>
  <c r="G267" i="27" s="1"/>
  <c r="B245" i="27"/>
  <c r="D245" i="27" s="1"/>
  <c r="F245" i="27" s="1"/>
  <c r="G245" i="27" s="1"/>
  <c r="B129" i="27"/>
  <c r="D129" i="27" s="1"/>
  <c r="F129" i="27" s="1"/>
  <c r="B13" i="27"/>
  <c r="D13" i="27" s="1"/>
  <c r="F13" i="27" s="1"/>
  <c r="G13" i="27" s="1"/>
  <c r="B177" i="27"/>
  <c r="D177" i="27" s="1"/>
  <c r="F177" i="27" s="1"/>
  <c r="G177" i="27" s="1"/>
  <c r="B110" i="27"/>
  <c r="D110" i="27" s="1"/>
  <c r="F110" i="27" s="1"/>
  <c r="G110" i="27" s="1"/>
  <c r="B19" i="27"/>
  <c r="D19" i="27" s="1"/>
  <c r="F19" i="27" s="1"/>
  <c r="G19" i="27" s="1"/>
  <c r="B22" i="28"/>
  <c r="B326" i="27"/>
  <c r="D326" i="27" s="1"/>
  <c r="F326" i="27" s="1"/>
  <c r="B210" i="27"/>
  <c r="D210" i="27" s="1"/>
  <c r="F210" i="27" s="1"/>
  <c r="G210" i="27" s="1"/>
  <c r="B188" i="27"/>
  <c r="D188" i="27" s="1"/>
  <c r="F188" i="27" s="1"/>
  <c r="G188" i="27" s="1"/>
  <c r="B72" i="27"/>
  <c r="D72" i="27" s="1"/>
  <c r="F72" i="27" s="1"/>
  <c r="G72" i="27" s="1"/>
  <c r="B362" i="27"/>
  <c r="D362" i="27" s="1"/>
  <c r="F362" i="27" s="1"/>
  <c r="B27" i="27"/>
  <c r="D27" i="27" s="1"/>
  <c r="F27" i="27" s="1"/>
  <c r="B30" i="27"/>
  <c r="D30" i="27" s="1"/>
  <c r="F30" i="27" s="1"/>
  <c r="G30" i="27" s="1"/>
  <c r="B334" i="27"/>
  <c r="D334" i="27" s="1"/>
  <c r="F334" i="27" s="1"/>
  <c r="B387" i="27"/>
  <c r="D387" i="27" s="1"/>
  <c r="F387" i="27" s="1"/>
  <c r="B270" i="27"/>
  <c r="D270" i="27" s="1"/>
  <c r="F270" i="27" s="1"/>
  <c r="B248" i="27"/>
  <c r="D248" i="27" s="1"/>
  <c r="F248" i="27" s="1"/>
  <c r="G248" i="27" s="1"/>
  <c r="B132" i="27"/>
  <c r="D132" i="27" s="1"/>
  <c r="F132" i="27" s="1"/>
  <c r="B16" i="27"/>
  <c r="D16" i="27" s="1"/>
  <c r="F16" i="27" s="1"/>
  <c r="B305" i="27"/>
  <c r="D305" i="27" s="1"/>
  <c r="F305" i="27" s="1"/>
  <c r="G305" i="27" s="1"/>
  <c r="B283" i="27"/>
  <c r="D283" i="27" s="1"/>
  <c r="F283" i="27" s="1"/>
  <c r="B167" i="27"/>
  <c r="D167" i="27" s="1"/>
  <c r="F167" i="27" s="1"/>
  <c r="G167" i="27" s="1"/>
  <c r="B145" i="27"/>
  <c r="D145" i="27" s="1"/>
  <c r="F145" i="27" s="1"/>
  <c r="G145" i="27" s="1"/>
  <c r="B29" i="27"/>
  <c r="D29" i="27" s="1"/>
  <c r="F29" i="27" s="1"/>
  <c r="G29" i="27" s="1"/>
  <c r="B168" i="27"/>
  <c r="D168" i="27" s="1"/>
  <c r="F168" i="27" s="1"/>
  <c r="G168" i="27" s="1"/>
  <c r="B123" i="27"/>
  <c r="D123" i="27" s="1"/>
  <c r="F123" i="27" s="1"/>
  <c r="G123" i="27" s="1"/>
  <c r="B92" i="27"/>
  <c r="D92" i="27" s="1"/>
  <c r="F92" i="27" s="1"/>
  <c r="B320" i="27"/>
  <c r="D320" i="27" s="1"/>
  <c r="F320" i="27" s="1"/>
  <c r="B298" i="27"/>
  <c r="D298" i="27" s="1"/>
  <c r="F298" i="27" s="1"/>
  <c r="G298" i="27" s="1"/>
  <c r="B182" i="27"/>
  <c r="D182" i="27" s="1"/>
  <c r="F182" i="27" s="1"/>
  <c r="G182" i="27" s="1"/>
  <c r="B66" i="27"/>
  <c r="D66" i="27" s="1"/>
  <c r="F66" i="27" s="1"/>
  <c r="G66" i="27" s="1"/>
  <c r="B44" i="27"/>
  <c r="D44" i="27" s="1"/>
  <c r="F44" i="27" s="1"/>
  <c r="G44" i="27" s="1"/>
  <c r="B321" i="27"/>
  <c r="D321" i="27" s="1"/>
  <c r="F321" i="27" s="1"/>
  <c r="B205" i="27"/>
  <c r="D205" i="27" s="1"/>
  <c r="F205" i="27" s="1"/>
  <c r="G205" i="27" s="1"/>
  <c r="B183" i="27"/>
  <c r="D183" i="27" s="1"/>
  <c r="F183" i="27" s="1"/>
  <c r="G183" i="27" s="1"/>
  <c r="B67" i="27"/>
  <c r="D67" i="27" s="1"/>
  <c r="F67" i="27" s="1"/>
  <c r="B45" i="27"/>
  <c r="D45" i="27" s="1"/>
  <c r="F45" i="27" s="1"/>
  <c r="B68" i="27"/>
  <c r="D68" i="27" s="1"/>
  <c r="F68" i="27" s="1"/>
  <c r="G68" i="27" s="1"/>
  <c r="B54" i="27"/>
  <c r="D54" i="27" s="1"/>
  <c r="F54" i="27" s="1"/>
  <c r="G54" i="27" s="1"/>
  <c r="B254" i="27"/>
  <c r="D254" i="27" s="1"/>
  <c r="F254" i="27" s="1"/>
  <c r="G254" i="27" s="1"/>
  <c r="E77" i="24"/>
  <c r="E86" i="21"/>
  <c r="E91" i="24"/>
  <c r="E67" i="26"/>
  <c r="E70" i="25"/>
  <c r="E84" i="21"/>
  <c r="E88" i="24"/>
  <c r="E108" i="25"/>
  <c r="E76" i="24"/>
  <c r="E68" i="21"/>
  <c r="E98" i="21"/>
  <c r="E96" i="21"/>
  <c r="E78" i="23"/>
  <c r="E102" i="26"/>
  <c r="E82" i="23"/>
  <c r="E66" i="21"/>
  <c r="E106" i="24"/>
  <c r="E70" i="21"/>
  <c r="E96" i="26"/>
  <c r="E72" i="23"/>
  <c r="B370" i="27"/>
  <c r="D370" i="27" s="1"/>
  <c r="F370" i="27" s="1"/>
  <c r="B347" i="27"/>
  <c r="D347" i="27" s="1"/>
  <c r="F347" i="27" s="1"/>
  <c r="B231" i="27"/>
  <c r="D231" i="27" s="1"/>
  <c r="F231" i="27" s="1"/>
  <c r="G231" i="27" s="1"/>
  <c r="B115" i="27"/>
  <c r="D115" i="27" s="1"/>
  <c r="F115" i="27" s="1"/>
  <c r="B93" i="27"/>
  <c r="D93" i="27" s="1"/>
  <c r="F93" i="27" s="1"/>
  <c r="G93" i="27" s="1"/>
  <c r="B315" i="27"/>
  <c r="D315" i="27" s="1"/>
  <c r="F315" i="27" s="1"/>
  <c r="G315" i="27" s="1"/>
  <c r="B15" i="27"/>
  <c r="D15" i="27" s="1"/>
  <c r="F15" i="27" s="1"/>
  <c r="G15" i="27" s="1"/>
  <c r="B366" i="27"/>
  <c r="D366" i="27" s="1"/>
  <c r="F366" i="27" s="1"/>
  <c r="B147" i="27"/>
  <c r="D147" i="27" s="1"/>
  <c r="F147" i="27" s="1"/>
  <c r="G147" i="27" s="1"/>
  <c r="B359" i="27"/>
  <c r="D359" i="27" s="1"/>
  <c r="F359" i="27" s="1"/>
  <c r="B336" i="27"/>
  <c r="D336" i="27" s="1"/>
  <c r="F336" i="27" s="1"/>
  <c r="B220" i="27"/>
  <c r="D220" i="27" s="1"/>
  <c r="F220" i="27" s="1"/>
  <c r="G220" i="27" s="1"/>
  <c r="B198" i="27"/>
  <c r="D198" i="27" s="1"/>
  <c r="F198" i="27" s="1"/>
  <c r="G198" i="27" s="1"/>
  <c r="B82" i="27"/>
  <c r="D82" i="27" s="1"/>
  <c r="F82" i="27" s="1"/>
  <c r="B398" i="27"/>
  <c r="D398" i="27" s="1"/>
  <c r="F398" i="27" s="1"/>
  <c r="B97" i="27"/>
  <c r="D97" i="27" s="1"/>
  <c r="F97" i="27" s="1"/>
  <c r="G97" i="27" s="1"/>
  <c r="B18" i="27"/>
  <c r="D18" i="27" s="1"/>
  <c r="F18" i="27" s="1"/>
  <c r="B77" i="27"/>
  <c r="D77" i="27" s="1"/>
  <c r="F77" i="27" s="1"/>
  <c r="B56" i="27"/>
  <c r="D56" i="27" s="1"/>
  <c r="F56" i="27" s="1"/>
  <c r="G56" i="27" s="1"/>
  <c r="B396" i="27"/>
  <c r="D396" i="27" s="1"/>
  <c r="F396" i="27" s="1"/>
  <c r="B279" i="27"/>
  <c r="D279" i="27" s="1"/>
  <c r="F279" i="27" s="1"/>
  <c r="B163" i="27"/>
  <c r="D163" i="27" s="1"/>
  <c r="F163" i="27" s="1"/>
  <c r="B141" i="27"/>
  <c r="D141" i="27" s="1"/>
  <c r="F141" i="27" s="1"/>
  <c r="G141" i="27" s="1"/>
  <c r="B25" i="27"/>
  <c r="D25" i="27" s="1"/>
  <c r="F25" i="27" s="1"/>
  <c r="G25" i="27" s="1"/>
  <c r="B131" i="27"/>
  <c r="D131" i="27" s="1"/>
  <c r="F131" i="27" s="1"/>
  <c r="B76" i="27"/>
  <c r="D76" i="27" s="1"/>
  <c r="F76" i="27" s="1"/>
  <c r="G76" i="27" s="1"/>
  <c r="B393" i="27"/>
  <c r="D393" i="27" s="1"/>
  <c r="F393" i="27" s="1"/>
  <c r="B361" i="27"/>
  <c r="D361" i="27" s="1"/>
  <c r="F361" i="27" s="1"/>
  <c r="B338" i="27"/>
  <c r="D338" i="27" s="1"/>
  <c r="F338" i="27" s="1"/>
  <c r="B222" i="27"/>
  <c r="D222" i="27" s="1"/>
  <c r="F222" i="27" s="1"/>
  <c r="G222" i="27" s="1"/>
  <c r="B106" i="27"/>
  <c r="D106" i="27" s="1"/>
  <c r="F106" i="27" s="1"/>
  <c r="B84" i="27"/>
  <c r="D84" i="27" s="1"/>
  <c r="F84" i="27" s="1"/>
  <c r="G84" i="27" s="1"/>
  <c r="B339" i="27"/>
  <c r="D339" i="27" s="1"/>
  <c r="F339" i="27" s="1"/>
  <c r="B389" i="27"/>
  <c r="D389" i="27" s="1"/>
  <c r="F389" i="27" s="1"/>
  <c r="B390" i="27"/>
  <c r="D390" i="27" s="1"/>
  <c r="F390" i="27" s="1"/>
  <c r="B230" i="27"/>
  <c r="D230" i="27" s="1"/>
  <c r="F230" i="27" s="1"/>
  <c r="G230" i="27" s="1"/>
  <c r="B354" i="27"/>
  <c r="D354" i="27" s="1"/>
  <c r="F354" i="27" s="1"/>
  <c r="B282" i="27"/>
  <c r="D282" i="27" s="1"/>
  <c r="F282" i="27" s="1"/>
  <c r="G282" i="27" s="1"/>
  <c r="B166" i="27"/>
  <c r="D166" i="27" s="1"/>
  <c r="F166" i="27" s="1"/>
  <c r="B144" i="27"/>
  <c r="D144" i="27" s="1"/>
  <c r="F144" i="27" s="1"/>
  <c r="G144" i="27" s="1"/>
  <c r="B28" i="27"/>
  <c r="D28" i="27" s="1"/>
  <c r="F28" i="27" s="1"/>
  <c r="G28" i="27" s="1"/>
  <c r="B317" i="27"/>
  <c r="D317" i="27" s="1"/>
  <c r="F317" i="27" s="1"/>
  <c r="B295" i="27"/>
  <c r="D295" i="27" s="1"/>
  <c r="F295" i="27" s="1"/>
  <c r="G295" i="27" s="1"/>
  <c r="B179" i="27"/>
  <c r="D179" i="27" s="1"/>
  <c r="F179" i="27" s="1"/>
  <c r="B63" i="27"/>
  <c r="D63" i="27" s="1"/>
  <c r="F63" i="27" s="1"/>
  <c r="B41" i="27"/>
  <c r="D41" i="27" s="1"/>
  <c r="F41" i="27" s="1"/>
  <c r="G41" i="27" s="1"/>
  <c r="B134" i="27"/>
  <c r="D134" i="27" s="1"/>
  <c r="F134" i="27" s="1"/>
  <c r="G134" i="27" s="1"/>
  <c r="B89" i="27"/>
  <c r="D89" i="27" s="1"/>
  <c r="F89" i="27" s="1"/>
  <c r="G89" i="27" s="1"/>
  <c r="B355" i="27"/>
  <c r="D355" i="27" s="1"/>
  <c r="F355" i="27" s="1"/>
  <c r="B332" i="27"/>
  <c r="D332" i="27" s="1"/>
  <c r="F332" i="27" s="1"/>
  <c r="B216" i="27"/>
  <c r="D216" i="27" s="1"/>
  <c r="F216" i="27" s="1"/>
  <c r="G216" i="27" s="1"/>
  <c r="B194" i="27"/>
  <c r="D194" i="27" s="1"/>
  <c r="F194" i="27" s="1"/>
  <c r="G194" i="27" s="1"/>
  <c r="B78" i="27"/>
  <c r="D78" i="27" s="1"/>
  <c r="F78" i="27" s="1"/>
  <c r="G78" i="27" s="1"/>
  <c r="B356" i="27"/>
  <c r="D356" i="27" s="1"/>
  <c r="F356" i="27" s="1"/>
  <c r="B333" i="27"/>
  <c r="D333" i="27" s="1"/>
  <c r="F333" i="27" s="1"/>
  <c r="B217" i="27"/>
  <c r="D217" i="27" s="1"/>
  <c r="F217" i="27" s="1"/>
  <c r="G217" i="27" s="1"/>
  <c r="B195" i="27"/>
  <c r="D195" i="27" s="1"/>
  <c r="F195" i="27" s="1"/>
  <c r="G195" i="27" s="1"/>
  <c r="B79" i="27"/>
  <c r="D79" i="27" s="1"/>
  <c r="F79" i="27" s="1"/>
  <c r="G79" i="27" s="1"/>
  <c r="B357" i="27"/>
  <c r="D357" i="27" s="1"/>
  <c r="F357" i="27" s="1"/>
  <c r="B46" i="27"/>
  <c r="D46" i="27" s="1"/>
  <c r="F46" i="27" s="1"/>
  <c r="G46" i="27" s="1"/>
  <c r="E110" i="23"/>
  <c r="E83" i="24"/>
  <c r="E104" i="24"/>
  <c r="E105" i="24"/>
  <c r="E84" i="23"/>
  <c r="E88" i="26"/>
  <c r="E109" i="26"/>
  <c r="E92" i="21"/>
  <c r="E86" i="24"/>
  <c r="E73" i="24"/>
  <c r="E71" i="24"/>
  <c r="E89" i="23"/>
  <c r="E90" i="25"/>
  <c r="E87" i="23"/>
  <c r="E67" i="21"/>
  <c r="E90" i="21"/>
  <c r="E85" i="25"/>
  <c r="E87" i="25"/>
  <c r="E104" i="25"/>
  <c r="E86" i="26"/>
  <c r="B382" i="27"/>
  <c r="D382" i="27" s="1"/>
  <c r="F382" i="27" s="1"/>
  <c r="B265" i="27"/>
  <c r="D265" i="27" s="1"/>
  <c r="F265" i="27" s="1"/>
  <c r="G265" i="27" s="1"/>
  <c r="B243" i="27"/>
  <c r="D243" i="27" s="1"/>
  <c r="F243" i="27" s="1"/>
  <c r="G243" i="27" s="1"/>
  <c r="B127" i="27"/>
  <c r="D127" i="27" s="1"/>
  <c r="F127" i="27" s="1"/>
  <c r="G127" i="27" s="1"/>
  <c r="B11" i="27"/>
  <c r="D11" i="27" s="1"/>
  <c r="F11" i="27" s="1"/>
  <c r="G11" i="27" s="1"/>
  <c r="B257" i="27"/>
  <c r="D257" i="27" s="1"/>
  <c r="F257" i="27" s="1"/>
  <c r="B377" i="27"/>
  <c r="D377" i="27" s="1"/>
  <c r="F377" i="27" s="1"/>
  <c r="B319" i="27"/>
  <c r="D319" i="27" s="1"/>
  <c r="F319" i="27" s="1"/>
  <c r="B7" i="27"/>
  <c r="D7" i="27" s="1"/>
  <c r="F7" i="27" s="1"/>
  <c r="G7" i="27" s="1"/>
  <c r="B371" i="27"/>
  <c r="D371" i="27" s="1"/>
  <c r="F371" i="27" s="1"/>
  <c r="B348" i="27"/>
  <c r="D348" i="27" s="1"/>
  <c r="F348" i="27" s="1"/>
  <c r="B232" i="27"/>
  <c r="D232" i="27" s="1"/>
  <c r="F232" i="27" s="1"/>
  <c r="G232" i="27" s="1"/>
  <c r="B116" i="27"/>
  <c r="D116" i="27" s="1"/>
  <c r="F116" i="27" s="1"/>
  <c r="G116" i="27" s="1"/>
  <c r="B94" i="27"/>
  <c r="D94" i="27" s="1"/>
  <c r="F94" i="27" s="1"/>
  <c r="G94" i="27" s="1"/>
  <c r="B327" i="27"/>
  <c r="D327" i="27" s="1"/>
  <c r="F327" i="27" s="1"/>
  <c r="B318" i="27"/>
  <c r="D318" i="27" s="1"/>
  <c r="F318" i="27" s="1"/>
  <c r="B42" i="27"/>
  <c r="D42" i="27" s="1"/>
  <c r="F42" i="27" s="1"/>
  <c r="B31" i="27"/>
  <c r="D31" i="27" s="1"/>
  <c r="F31" i="27" s="1"/>
  <c r="B22" i="27"/>
  <c r="D22" i="27" s="1"/>
  <c r="F22" i="27" s="1"/>
  <c r="G22" i="27" s="1"/>
  <c r="B313" i="27"/>
  <c r="D313" i="27" s="1"/>
  <c r="F313" i="27" s="1"/>
  <c r="G313" i="27" s="1"/>
  <c r="B291" i="27"/>
  <c r="D291" i="27" s="1"/>
  <c r="F291" i="27" s="1"/>
  <c r="B175" i="27"/>
  <c r="D175" i="27" s="1"/>
  <c r="F175" i="27" s="1"/>
  <c r="G175" i="27" s="1"/>
  <c r="B59" i="27"/>
  <c r="D59" i="27" s="1"/>
  <c r="F59" i="27" s="1"/>
  <c r="B37" i="27"/>
  <c r="D37" i="27" s="1"/>
  <c r="F37" i="27" s="1"/>
  <c r="B85" i="27"/>
  <c r="D85" i="27" s="1"/>
  <c r="F85" i="27" s="1"/>
  <c r="G85" i="27" s="1"/>
  <c r="B378" i="27"/>
  <c r="D378" i="27" s="1"/>
  <c r="F378" i="27" s="1"/>
  <c r="B276" i="27"/>
  <c r="D276" i="27" s="1"/>
  <c r="F276" i="27" s="1"/>
  <c r="G276" i="27" s="1"/>
  <c r="B373" i="27"/>
  <c r="D373" i="27" s="1"/>
  <c r="F373" i="27" s="1"/>
  <c r="B256" i="27"/>
  <c r="D256" i="27" s="1"/>
  <c r="F256" i="27" s="1"/>
  <c r="G256" i="27" s="1"/>
  <c r="B234" i="27"/>
  <c r="D234" i="27" s="1"/>
  <c r="F234" i="27" s="1"/>
  <c r="G234" i="27" s="1"/>
  <c r="B118" i="27"/>
  <c r="D118" i="27" s="1"/>
  <c r="F118" i="27" s="1"/>
  <c r="G118" i="27" s="1"/>
  <c r="B96" i="27"/>
  <c r="D96" i="27" s="1"/>
  <c r="F96" i="27" s="1"/>
  <c r="G96" i="27" s="1"/>
  <c r="B293" i="27"/>
  <c r="D293" i="27" s="1"/>
  <c r="F293" i="27" s="1"/>
  <c r="B260" i="27"/>
  <c r="D260" i="27" s="1"/>
  <c r="F260" i="27" s="1"/>
  <c r="G260" i="27" s="1"/>
  <c r="B285" i="27"/>
  <c r="D285" i="27" s="1"/>
  <c r="F285" i="27" s="1"/>
  <c r="G285" i="27" s="1"/>
  <c r="B126" i="27"/>
  <c r="D126" i="27" s="1"/>
  <c r="F126" i="27" s="1"/>
  <c r="G126" i="27" s="1"/>
  <c r="B316" i="27"/>
  <c r="D316" i="27" s="1"/>
  <c r="F316" i="27" s="1"/>
  <c r="B294" i="27"/>
  <c r="D294" i="27" s="1"/>
  <c r="F294" i="27" s="1"/>
  <c r="G294" i="27" s="1"/>
  <c r="B178" i="27"/>
  <c r="D178" i="27" s="1"/>
  <c r="F178" i="27" s="1"/>
  <c r="G178" i="27" s="1"/>
  <c r="B62" i="27"/>
  <c r="D62" i="27" s="1"/>
  <c r="F62" i="27" s="1"/>
  <c r="G62" i="27" s="1"/>
  <c r="B40" i="27"/>
  <c r="D40" i="27" s="1"/>
  <c r="F40" i="27" s="1"/>
  <c r="G40" i="27" s="1"/>
  <c r="B394" i="27"/>
  <c r="D394" i="27" s="1"/>
  <c r="F394" i="27" s="1"/>
  <c r="B277" i="27"/>
  <c r="D277" i="27" s="1"/>
  <c r="F277" i="27" s="1"/>
  <c r="G277" i="27" s="1"/>
  <c r="B161" i="27"/>
  <c r="D161" i="27" s="1"/>
  <c r="F161" i="27" s="1"/>
  <c r="G161" i="27" s="1"/>
  <c r="B139" i="27"/>
  <c r="D139" i="27" s="1"/>
  <c r="F139" i="27" s="1"/>
  <c r="B23" i="27"/>
  <c r="D23" i="27" s="1"/>
  <c r="F23" i="27" s="1"/>
  <c r="G23" i="27" s="1"/>
  <c r="B211" i="27"/>
  <c r="D211" i="27" s="1"/>
  <c r="F211" i="27" s="1"/>
  <c r="G211" i="27" s="1"/>
  <c r="B272" i="27"/>
  <c r="D272" i="27" s="1"/>
  <c r="F272" i="27" s="1"/>
  <c r="G272" i="27" s="1"/>
  <c r="B261" i="27"/>
  <c r="D261" i="27" s="1"/>
  <c r="F261" i="27" s="1"/>
  <c r="G261" i="27" s="1"/>
  <c r="B369" i="27"/>
  <c r="D369" i="27" s="1"/>
  <c r="F369" i="27" s="1"/>
  <c r="B383" i="27"/>
  <c r="D383" i="27" s="1"/>
  <c r="F383" i="27" s="1"/>
  <c r="B266" i="27"/>
  <c r="D266" i="27" s="1"/>
  <c r="F266" i="27" s="1"/>
  <c r="G266" i="27" s="1"/>
  <c r="B244" i="27"/>
  <c r="D244" i="27" s="1"/>
  <c r="F244" i="27" s="1"/>
  <c r="G244" i="27" s="1"/>
  <c r="B128" i="27"/>
  <c r="D128" i="27" s="1"/>
  <c r="F128" i="27" s="1"/>
  <c r="G128" i="27" s="1"/>
  <c r="B12" i="27"/>
  <c r="D12" i="27" s="1"/>
  <c r="F12" i="27" s="1"/>
  <c r="B281" i="27"/>
  <c r="D281" i="27" s="1"/>
  <c r="F281" i="27" s="1"/>
  <c r="G281" i="27" s="1"/>
  <c r="B284" i="27"/>
  <c r="D284" i="27" s="1"/>
  <c r="F284" i="27" s="1"/>
  <c r="B307" i="27"/>
  <c r="D307" i="27" s="1"/>
  <c r="F307" i="27" s="1"/>
  <c r="G307" i="27" s="1"/>
  <c r="B322" i="27"/>
  <c r="D322" i="27" s="1"/>
  <c r="F322" i="27" s="1"/>
  <c r="B21" i="28"/>
  <c r="B325" i="27"/>
  <c r="D325" i="27" s="1"/>
  <c r="F325" i="27" s="1"/>
  <c r="B209" i="27"/>
  <c r="D209" i="27" s="1"/>
  <c r="F209" i="27" s="1"/>
  <c r="G209" i="27" s="1"/>
  <c r="B187" i="27"/>
  <c r="D187" i="27" s="1"/>
  <c r="F187" i="27" s="1"/>
  <c r="G187" i="27" s="1"/>
  <c r="B71" i="27"/>
  <c r="D71" i="27" s="1"/>
  <c r="F71" i="27" s="1"/>
  <c r="G71" i="27" s="1"/>
  <c r="B386" i="27"/>
  <c r="D386" i="27" s="1"/>
  <c r="F386" i="27" s="1"/>
  <c r="B39" i="27"/>
  <c r="D39" i="27" s="1"/>
  <c r="F39" i="27" s="1"/>
  <c r="G39" i="27" s="1"/>
  <c r="B331" i="27"/>
  <c r="D331" i="27" s="1"/>
  <c r="F331" i="27" s="1"/>
  <c r="B242" i="27"/>
  <c r="D242" i="27" s="1"/>
  <c r="F242" i="27" s="1"/>
  <c r="G242" i="27" s="1"/>
  <c r="B385" i="27"/>
  <c r="D385" i="27" s="1"/>
  <c r="F385" i="27" s="1"/>
  <c r="B268" i="27"/>
  <c r="D268" i="27" s="1"/>
  <c r="F268" i="27" s="1"/>
  <c r="B246" i="27"/>
  <c r="D246" i="27" s="1"/>
  <c r="F246" i="27" s="1"/>
  <c r="G246" i="27" s="1"/>
  <c r="B130" i="27"/>
  <c r="D130" i="27" s="1"/>
  <c r="F130" i="27" s="1"/>
  <c r="G130" i="27" s="1"/>
  <c r="B14" i="27"/>
  <c r="D14" i="27" s="1"/>
  <c r="F14" i="27" s="1"/>
  <c r="G14" i="27" s="1"/>
  <c r="B247" i="27"/>
  <c r="D247" i="27" s="1"/>
  <c r="F247" i="27" s="1"/>
  <c r="G247" i="27" s="1"/>
  <c r="B214" i="27"/>
  <c r="D214" i="27" s="1"/>
  <c r="F214" i="27" s="1"/>
  <c r="G214" i="27" s="1"/>
  <c r="B181" i="27"/>
  <c r="D181" i="27" s="1"/>
  <c r="F181" i="27" s="1"/>
  <c r="B10" i="27"/>
  <c r="D10" i="27" s="1"/>
  <c r="F10" i="27" s="1"/>
  <c r="B328" i="27"/>
  <c r="D328" i="27" s="1"/>
  <c r="F328" i="27" s="1"/>
  <c r="B212" i="27"/>
  <c r="D212" i="27" s="1"/>
  <c r="F212" i="27" s="1"/>
  <c r="G212" i="27" s="1"/>
  <c r="B190" i="27"/>
  <c r="D190" i="27" s="1"/>
  <c r="F190" i="27" s="1"/>
  <c r="G190" i="27" s="1"/>
  <c r="B74" i="27"/>
  <c r="D74" i="27" s="1"/>
  <c r="F74" i="27" s="1"/>
  <c r="G74" i="27" s="1"/>
  <c r="B364" i="27"/>
  <c r="D364" i="27" s="1"/>
  <c r="F364" i="27" s="1"/>
  <c r="B341" i="27"/>
  <c r="D341" i="27" s="1"/>
  <c r="F341" i="27" s="1"/>
  <c r="B225" i="27"/>
  <c r="D225" i="27" s="1"/>
  <c r="F225" i="27" s="1"/>
  <c r="G225" i="27" s="1"/>
  <c r="B109" i="27"/>
  <c r="D109" i="27" s="1"/>
  <c r="F109" i="27" s="1"/>
  <c r="G109" i="27" s="1"/>
  <c r="B87" i="27"/>
  <c r="D87" i="27" s="1"/>
  <c r="F87" i="27" s="1"/>
  <c r="G87" i="27" s="1"/>
  <c r="B306" i="27"/>
  <c r="D306" i="27" s="1"/>
  <c r="F306" i="27" s="1"/>
  <c r="G306" i="27" s="1"/>
  <c r="B343" i="27"/>
  <c r="D343" i="27" s="1"/>
  <c r="F343" i="27" s="1"/>
  <c r="B288" i="27"/>
  <c r="D288" i="27" s="1"/>
  <c r="F288" i="27" s="1"/>
  <c r="G288" i="27" s="1"/>
  <c r="B379" i="27"/>
  <c r="D379" i="27" s="1"/>
  <c r="F379" i="27" s="1"/>
  <c r="B262" i="27"/>
  <c r="D262" i="27" s="1"/>
  <c r="F262" i="27" s="1"/>
  <c r="B240" i="27"/>
  <c r="D240" i="27" s="1"/>
  <c r="F240" i="27" s="1"/>
  <c r="G240" i="27" s="1"/>
  <c r="B124" i="27"/>
  <c r="D124" i="27" s="1"/>
  <c r="F124" i="27" s="1"/>
  <c r="B8" i="27"/>
  <c r="D8" i="27" s="1"/>
  <c r="F8" i="27" s="1"/>
  <c r="G8" i="27" s="1"/>
  <c r="B380" i="27"/>
  <c r="D380" i="27" s="1"/>
  <c r="F380" i="27" s="1"/>
  <c r="B263" i="27"/>
  <c r="D263" i="27" s="1"/>
  <c r="F263" i="27" s="1"/>
  <c r="B241" i="27"/>
  <c r="D241" i="27" s="1"/>
  <c r="F241" i="27" s="1"/>
  <c r="G241" i="27" s="1"/>
  <c r="B125" i="27"/>
  <c r="D125" i="27" s="1"/>
  <c r="F125" i="27" s="1"/>
  <c r="G125" i="27" s="1"/>
  <c r="B9" i="27"/>
  <c r="D9" i="27" s="1"/>
  <c r="F9" i="27" s="1"/>
  <c r="G9" i="27" s="1"/>
  <c r="B346" i="27"/>
  <c r="D346" i="27" s="1"/>
  <c r="F346" i="27" s="1"/>
  <c r="B18" i="28"/>
  <c r="B154" i="27"/>
  <c r="D154" i="27" s="1"/>
  <c r="F154" i="27" s="1"/>
  <c r="G154" i="27" s="1"/>
  <c r="B204" i="27"/>
  <c r="D204" i="27" s="1"/>
  <c r="F204" i="27" s="1"/>
  <c r="G204" i="27" s="1"/>
  <c r="E108" i="24"/>
  <c r="E86" i="23"/>
  <c r="E80" i="21"/>
  <c r="E97" i="24"/>
  <c r="E84" i="26"/>
  <c r="E106" i="21"/>
  <c r="E80" i="24"/>
  <c r="E88" i="21"/>
  <c r="E73" i="26"/>
  <c r="E103" i="26"/>
  <c r="E75" i="23"/>
  <c r="E71" i="25"/>
  <c r="E100" i="21"/>
  <c r="E96" i="23"/>
  <c r="E103" i="23"/>
  <c r="E104" i="26"/>
  <c r="E95" i="25"/>
  <c r="E89" i="21"/>
  <c r="E77" i="26"/>
  <c r="B311" i="27"/>
  <c r="D311" i="27" s="1"/>
  <c r="F311" i="27" s="1"/>
  <c r="G311" i="27" s="1"/>
  <c r="B289" i="27"/>
  <c r="D289" i="27" s="1"/>
  <c r="F289" i="27" s="1"/>
  <c r="G289" i="27" s="1"/>
  <c r="B173" i="27"/>
  <c r="D173" i="27" s="1"/>
  <c r="F173" i="27" s="1"/>
  <c r="B57" i="27"/>
  <c r="D57" i="27" s="1"/>
  <c r="F57" i="27" s="1"/>
  <c r="G57" i="27" s="1"/>
  <c r="B35" i="27"/>
  <c r="D35" i="27" s="1"/>
  <c r="F35" i="27" s="1"/>
  <c r="B165" i="27"/>
  <c r="D165" i="27" s="1"/>
  <c r="F165" i="27" s="1"/>
  <c r="B156" i="27"/>
  <c r="D156" i="27" s="1"/>
  <c r="F156" i="27" s="1"/>
  <c r="G156" i="27" s="1"/>
  <c r="B297" i="27"/>
  <c r="D297" i="27" s="1"/>
  <c r="F297" i="27" s="1"/>
  <c r="G297" i="27" s="1"/>
  <c r="B218" i="27"/>
  <c r="D218" i="27" s="1"/>
  <c r="F218" i="27" s="1"/>
  <c r="G218" i="27" s="1"/>
  <c r="B395" i="27"/>
  <c r="D395" i="27" s="1"/>
  <c r="F395" i="27" s="1"/>
  <c r="B238" i="27"/>
  <c r="D238" i="27" s="1"/>
  <c r="F238" i="27" s="1"/>
  <c r="G238" i="27" s="1"/>
  <c r="B105" i="27"/>
  <c r="D105" i="27" s="1"/>
  <c r="F105" i="27" s="1"/>
  <c r="G105" i="27" s="1"/>
  <c r="B397" i="27"/>
  <c r="D397" i="27" s="1"/>
  <c r="F397" i="27" s="1"/>
  <c r="B180" i="27"/>
  <c r="D180" i="27" s="1"/>
  <c r="F180" i="27" s="1"/>
  <c r="B86" i="27"/>
  <c r="D86" i="27" s="1"/>
  <c r="F86" i="27" s="1"/>
  <c r="G86" i="27" s="1"/>
  <c r="B191" i="27"/>
  <c r="D191" i="27" s="1"/>
  <c r="F191" i="27" s="1"/>
  <c r="G191" i="27" s="1"/>
  <c r="B6" i="27"/>
  <c r="D6" i="27" s="1"/>
  <c r="F6" i="27" s="1"/>
  <c r="G6" i="27" s="1"/>
  <c r="B344" i="27"/>
  <c r="D344" i="27" s="1"/>
  <c r="F344" i="27" s="1"/>
  <c r="B90" i="27"/>
  <c r="D90" i="27" s="1"/>
  <c r="F90" i="27" s="1"/>
  <c r="G90" i="27" s="1"/>
  <c r="B229" i="27"/>
  <c r="D229" i="27" s="1"/>
  <c r="F229" i="27" s="1"/>
  <c r="G229" i="27" s="1"/>
  <c r="B310" i="27"/>
  <c r="D310" i="27" s="1"/>
  <c r="F310" i="27" s="1"/>
  <c r="G310" i="27" s="1"/>
  <c r="B4" i="27"/>
  <c r="D4" i="27" s="1"/>
  <c r="F4" i="27" s="1"/>
  <c r="G4" i="27" s="1"/>
  <c r="B304" i="27"/>
  <c r="D304" i="27" s="1"/>
  <c r="F304" i="27" s="1"/>
  <c r="G304" i="27" s="1"/>
  <c r="E81" i="23"/>
  <c r="E82" i="24"/>
  <c r="E66" i="24"/>
  <c r="E89" i="26"/>
  <c r="E99" i="21"/>
  <c r="E108" i="26"/>
  <c r="E107" i="24"/>
  <c r="E100" i="25"/>
  <c r="E95" i="21"/>
  <c r="E107" i="26"/>
  <c r="E72" i="26"/>
  <c r="E99" i="25"/>
  <c r="E85" i="24"/>
  <c r="E96" i="24"/>
  <c r="E81" i="21"/>
  <c r="E94" i="25"/>
  <c r="E84" i="24"/>
  <c r="E75" i="25"/>
  <c r="E110" i="26"/>
  <c r="E85" i="23"/>
  <c r="E110" i="25"/>
  <c r="E79" i="26"/>
  <c r="E97" i="26"/>
  <c r="E80" i="25"/>
  <c r="B18" i="20"/>
  <c r="B275" i="3"/>
  <c r="E93" i="11"/>
  <c r="E107" i="17"/>
  <c r="E84" i="11"/>
  <c r="B278" i="27"/>
  <c r="D278" i="27" s="1"/>
  <c r="F278" i="27" s="1"/>
  <c r="B273" i="27"/>
  <c r="D273" i="27" s="1"/>
  <c r="F273" i="27" s="1"/>
  <c r="G273" i="27" s="1"/>
  <c r="B83" i="27"/>
  <c r="D83" i="27" s="1"/>
  <c r="F83" i="27" s="1"/>
  <c r="G83" i="27" s="1"/>
  <c r="B280" i="27"/>
  <c r="D280" i="27" s="1"/>
  <c r="F280" i="27" s="1"/>
  <c r="G280" i="27" s="1"/>
  <c r="B65" i="27"/>
  <c r="D65" i="27" s="1"/>
  <c r="F65" i="27" s="1"/>
  <c r="B376" i="27"/>
  <c r="D376" i="27" s="1"/>
  <c r="F376" i="27" s="1"/>
  <c r="B121" i="27"/>
  <c r="D121" i="27" s="1"/>
  <c r="F121" i="27" s="1"/>
  <c r="B215" i="27"/>
  <c r="D215" i="27" s="1"/>
  <c r="F215" i="27" s="1"/>
  <c r="G215" i="27" s="1"/>
  <c r="B274" i="27"/>
  <c r="D274" i="27" s="1"/>
  <c r="F274" i="27" s="1"/>
  <c r="B20" i="27"/>
  <c r="D20" i="27" s="1"/>
  <c r="F20" i="27" s="1"/>
  <c r="G20" i="27" s="1"/>
  <c r="B159" i="27"/>
  <c r="D159" i="27" s="1"/>
  <c r="F159" i="27" s="1"/>
  <c r="B264" i="27"/>
  <c r="D264" i="27" s="1"/>
  <c r="F264" i="27" s="1"/>
  <c r="G264" i="27" s="1"/>
  <c r="E95" i="24"/>
  <c r="E67" i="24"/>
  <c r="E94" i="21"/>
  <c r="E73" i="25"/>
  <c r="E95" i="26"/>
  <c r="E79" i="21"/>
  <c r="E79" i="23"/>
  <c r="E82" i="26"/>
  <c r="E83" i="21"/>
  <c r="E83" i="23"/>
  <c r="E69" i="23"/>
  <c r="E83" i="25"/>
  <c r="E101" i="23"/>
  <c r="E74" i="25"/>
  <c r="E109" i="23"/>
  <c r="E74" i="26"/>
  <c r="E109" i="25"/>
  <c r="E93" i="23"/>
  <c r="E72" i="21"/>
  <c r="E102" i="25"/>
  <c r="E82" i="21"/>
  <c r="E100" i="23"/>
  <c r="E109" i="21"/>
  <c r="E99" i="23"/>
  <c r="B21" i="20"/>
  <c r="B276" i="3"/>
  <c r="E81" i="17"/>
  <c r="E85" i="11"/>
  <c r="E110" i="17"/>
  <c r="E104" i="17"/>
  <c r="E86" i="11"/>
  <c r="E100" i="11"/>
  <c r="E85" i="18"/>
  <c r="E80" i="11"/>
  <c r="E66" i="11"/>
  <c r="E74" i="17"/>
  <c r="E83" i="17"/>
  <c r="E108" i="11"/>
  <c r="E77" i="17"/>
  <c r="E97" i="18"/>
  <c r="E95" i="17"/>
  <c r="E109" i="17"/>
  <c r="E71" i="18"/>
  <c r="E69" i="11"/>
  <c r="E91" i="11"/>
  <c r="E80" i="18"/>
  <c r="E88" i="17"/>
  <c r="E103" i="11"/>
  <c r="E79" i="11"/>
  <c r="E104" i="18"/>
  <c r="E102" i="17"/>
  <c r="B162" i="27"/>
  <c r="D162" i="27" s="1"/>
  <c r="F162" i="27" s="1"/>
  <c r="B206" i="27"/>
  <c r="D206" i="27" s="1"/>
  <c r="F206" i="27" s="1"/>
  <c r="G206" i="27" s="1"/>
  <c r="B269" i="27"/>
  <c r="D269" i="27" s="1"/>
  <c r="F269" i="27" s="1"/>
  <c r="G269" i="27" s="1"/>
  <c r="B164" i="27"/>
  <c r="D164" i="27" s="1"/>
  <c r="F164" i="27" s="1"/>
  <c r="B363" i="27"/>
  <c r="D363" i="27" s="1"/>
  <c r="F363" i="27" s="1"/>
  <c r="B329" i="27"/>
  <c r="D329" i="27" s="1"/>
  <c r="F329" i="27" s="1"/>
  <c r="B75" i="27"/>
  <c r="D75" i="27" s="1"/>
  <c r="F75" i="27" s="1"/>
  <c r="G75" i="27" s="1"/>
  <c r="B381" i="27"/>
  <c r="D381" i="27" s="1"/>
  <c r="F381" i="27" s="1"/>
  <c r="B228" i="27"/>
  <c r="D228" i="27" s="1"/>
  <c r="F228" i="27" s="1"/>
  <c r="G228" i="27" s="1"/>
  <c r="B368" i="27"/>
  <c r="D368" i="27" s="1"/>
  <c r="F368" i="27" s="1"/>
  <c r="B113" i="27"/>
  <c r="D113" i="27" s="1"/>
  <c r="F113" i="27" s="1"/>
  <c r="G113" i="27" s="1"/>
  <c r="E101" i="21"/>
  <c r="E98" i="24"/>
  <c r="E72" i="25"/>
  <c r="E105" i="26"/>
  <c r="E91" i="26"/>
  <c r="E103" i="25"/>
  <c r="E94" i="26"/>
  <c r="E99" i="26"/>
  <c r="E107" i="23"/>
  <c r="E105" i="23"/>
  <c r="E95" i="23"/>
  <c r="E69" i="26"/>
  <c r="E97" i="21"/>
  <c r="E81" i="25"/>
  <c r="E102" i="21"/>
  <c r="E105" i="25"/>
  <c r="E77" i="21"/>
  <c r="E106" i="25"/>
  <c r="E97" i="25"/>
  <c r="E100" i="24"/>
  <c r="E97" i="23"/>
  <c r="E101" i="26"/>
  <c r="E80" i="26"/>
  <c r="E104" i="21"/>
  <c r="E83" i="26"/>
  <c r="B22" i="20"/>
  <c r="E108" i="17"/>
  <c r="E82" i="18"/>
  <c r="E84" i="18"/>
  <c r="E69" i="18"/>
  <c r="E107" i="11"/>
  <c r="E79" i="17"/>
  <c r="E68" i="18"/>
  <c r="E92" i="17"/>
  <c r="E93" i="17"/>
  <c r="E94" i="18"/>
  <c r="E102" i="18"/>
  <c r="E91" i="18"/>
  <c r="E72" i="11"/>
  <c r="E101" i="17"/>
  <c r="E85" i="17"/>
  <c r="E90" i="11"/>
  <c r="E103" i="17"/>
  <c r="E96" i="11"/>
  <c r="E86" i="18"/>
  <c r="E101" i="11"/>
  <c r="E93" i="18"/>
  <c r="E92" i="11"/>
  <c r="E99" i="11"/>
  <c r="E106" i="17"/>
  <c r="E110" i="18"/>
  <c r="E109" i="11"/>
  <c r="E101" i="18"/>
  <c r="B140" i="27"/>
  <c r="D140" i="27" s="1"/>
  <c r="F140" i="27" s="1"/>
  <c r="B360" i="27"/>
  <c r="D360" i="27" s="1"/>
  <c r="F360" i="27" s="1"/>
  <c r="B342" i="27"/>
  <c r="D342" i="27" s="1"/>
  <c r="F342" i="27" s="1"/>
  <c r="B142" i="27"/>
  <c r="D142" i="27" s="1"/>
  <c r="F142" i="27" s="1"/>
  <c r="B340" i="27"/>
  <c r="D340" i="27" s="1"/>
  <c r="F340" i="27" s="1"/>
  <c r="B259" i="27"/>
  <c r="D259" i="27" s="1"/>
  <c r="F259" i="27" s="1"/>
  <c r="G259" i="27" s="1"/>
  <c r="B5" i="27"/>
  <c r="D5" i="27" s="1"/>
  <c r="F5" i="27" s="1"/>
  <c r="G5" i="27" s="1"/>
  <c r="B160" i="27"/>
  <c r="D160" i="27" s="1"/>
  <c r="F160" i="27" s="1"/>
  <c r="G160" i="27" s="1"/>
  <c r="B158" i="27"/>
  <c r="D158" i="27" s="1"/>
  <c r="F158" i="27" s="1"/>
  <c r="B392" i="27"/>
  <c r="D392" i="27" s="1"/>
  <c r="F392" i="27" s="1"/>
  <c r="B137" i="27"/>
  <c r="D137" i="27" s="1"/>
  <c r="F137" i="27" s="1"/>
  <c r="G137" i="27" s="1"/>
  <c r="E73" i="21"/>
  <c r="E92" i="26"/>
  <c r="E67" i="23"/>
  <c r="E74" i="24"/>
  <c r="E76" i="26"/>
  <c r="E104" i="23"/>
  <c r="E103" i="21"/>
  <c r="E70" i="24"/>
  <c r="E71" i="21"/>
  <c r="E107" i="25"/>
  <c r="E69" i="24"/>
  <c r="E94" i="23"/>
  <c r="E75" i="26"/>
  <c r="E110" i="21"/>
  <c r="E93" i="25"/>
  <c r="E69" i="25"/>
  <c r="E101" i="25"/>
  <c r="E98" i="25"/>
  <c r="E85" i="26"/>
  <c r="E87" i="21"/>
  <c r="E92" i="23"/>
  <c r="E74" i="23"/>
  <c r="E81" i="24"/>
  <c r="E87" i="24"/>
  <c r="E102" i="23"/>
  <c r="B277" i="3"/>
  <c r="E69" i="17"/>
  <c r="E89" i="18"/>
  <c r="E74" i="11"/>
  <c r="E95" i="18"/>
  <c r="E66" i="17"/>
  <c r="E66" i="18"/>
  <c r="E88" i="18"/>
  <c r="E99" i="17"/>
  <c r="E103" i="18"/>
  <c r="E75" i="18"/>
  <c r="B24" i="27"/>
  <c r="D24" i="27" s="1"/>
  <c r="F24" i="27" s="1"/>
  <c r="G24" i="27" s="1"/>
  <c r="B337" i="27"/>
  <c r="D337" i="27" s="1"/>
  <c r="F337" i="27" s="1"/>
  <c r="B239" i="27"/>
  <c r="D239" i="27" s="1"/>
  <c r="F239" i="27" s="1"/>
  <c r="G239" i="27" s="1"/>
  <c r="B26" i="27"/>
  <c r="D26" i="27" s="1"/>
  <c r="F26" i="27" s="1"/>
  <c r="B224" i="27"/>
  <c r="D224" i="27" s="1"/>
  <c r="F224" i="27" s="1"/>
  <c r="G224" i="27" s="1"/>
  <c r="B213" i="27"/>
  <c r="D213" i="27" s="1"/>
  <c r="F213" i="27" s="1"/>
  <c r="G213" i="27" s="1"/>
  <c r="B365" i="27"/>
  <c r="D365" i="27" s="1"/>
  <c r="F365" i="27" s="1"/>
  <c r="B367" i="27"/>
  <c r="D367" i="27" s="1"/>
  <c r="F367" i="27" s="1"/>
  <c r="B112" i="27"/>
  <c r="D112" i="27" s="1"/>
  <c r="F112" i="27" s="1"/>
  <c r="B345" i="27"/>
  <c r="D345" i="27" s="1"/>
  <c r="F345" i="27" s="1"/>
  <c r="B91" i="27"/>
  <c r="D91" i="27" s="1"/>
  <c r="F91" i="27" s="1"/>
  <c r="E102" i="24"/>
  <c r="E68" i="24"/>
  <c r="E101" i="24"/>
  <c r="E107" i="21"/>
  <c r="E66" i="25"/>
  <c r="E98" i="23"/>
  <c r="E78" i="25"/>
  <c r="E85" i="21"/>
  <c r="E66" i="26"/>
  <c r="E68" i="26"/>
  <c r="E84" i="25"/>
  <c r="E109" i="24"/>
  <c r="E74" i="21"/>
  <c r="E71" i="23"/>
  <c r="E79" i="25"/>
  <c r="E67" i="25"/>
  <c r="E92" i="25"/>
  <c r="E78" i="26"/>
  <c r="E76" i="25"/>
  <c r="E106" i="23"/>
  <c r="E93" i="26"/>
  <c r="E78" i="24"/>
  <c r="E91" i="21"/>
  <c r="E87" i="26"/>
  <c r="B19" i="20"/>
  <c r="B274" i="3"/>
  <c r="E76" i="17"/>
  <c r="E71" i="17"/>
  <c r="E98" i="17"/>
  <c r="E87" i="11"/>
  <c r="E91" i="17"/>
  <c r="E94" i="11"/>
  <c r="E81" i="18"/>
  <c r="E90" i="17"/>
  <c r="E98" i="18"/>
  <c r="E89" i="17"/>
  <c r="E76" i="18"/>
  <c r="E108" i="18"/>
  <c r="E105" i="11"/>
  <c r="E95" i="11"/>
  <c r="E67" i="18"/>
  <c r="E77" i="11"/>
  <c r="E87" i="18"/>
  <c r="E78" i="18"/>
  <c r="E70" i="17"/>
  <c r="E78" i="17"/>
  <c r="E80" i="17"/>
  <c r="E105" i="17"/>
  <c r="E73" i="18"/>
  <c r="E96" i="18"/>
  <c r="E75" i="17"/>
  <c r="E75" i="11"/>
  <c r="E106" i="18"/>
  <c r="E89" i="11"/>
  <c r="E83" i="18"/>
  <c r="E109" i="18"/>
  <c r="E67" i="11"/>
  <c r="E68" i="11"/>
  <c r="E105" i="18"/>
  <c r="E83" i="11"/>
  <c r="E70" i="11"/>
  <c r="E99" i="18"/>
  <c r="E106" i="11"/>
  <c r="E97" i="11"/>
  <c r="E81" i="11"/>
  <c r="E79" i="18"/>
  <c r="E78" i="11"/>
  <c r="E90" i="18"/>
  <c r="E94" i="17"/>
  <c r="B235" i="27"/>
  <c r="D235" i="27" s="1"/>
  <c r="F235" i="27" s="1"/>
  <c r="G235" i="27" s="1"/>
  <c r="B221" i="27"/>
  <c r="D221" i="27" s="1"/>
  <c r="F221" i="27" s="1"/>
  <c r="G221" i="27" s="1"/>
  <c r="B138" i="27"/>
  <c r="D138" i="27" s="1"/>
  <c r="F138" i="27" s="1"/>
  <c r="B107" i="27"/>
  <c r="D107" i="27" s="1"/>
  <c r="F107" i="27" s="1"/>
  <c r="G107" i="27" s="1"/>
  <c r="B108" i="27"/>
  <c r="D108" i="27" s="1"/>
  <c r="F108" i="27" s="1"/>
  <c r="B237" i="27"/>
  <c r="D237" i="27" s="1"/>
  <c r="F237" i="27" s="1"/>
  <c r="G237" i="27" s="1"/>
  <c r="B330" i="27"/>
  <c r="D330" i="27" s="1"/>
  <c r="F330" i="27" s="1"/>
  <c r="B391" i="27"/>
  <c r="D391" i="27" s="1"/>
  <c r="F391" i="27" s="1"/>
  <c r="B136" i="27"/>
  <c r="D136" i="27" s="1"/>
  <c r="F136" i="27" s="1"/>
  <c r="G136" i="27" s="1"/>
  <c r="B275" i="27"/>
  <c r="D275" i="27" s="1"/>
  <c r="F275" i="27" s="1"/>
  <c r="B21" i="27"/>
  <c r="D21" i="27" s="1"/>
  <c r="F21" i="27" s="1"/>
  <c r="G21" i="27" s="1"/>
  <c r="E79" i="24"/>
  <c r="E90" i="24"/>
  <c r="E99" i="24"/>
  <c r="E88" i="23"/>
  <c r="E69" i="21"/>
  <c r="E68" i="25"/>
  <c r="E82" i="25"/>
  <c r="E90" i="23"/>
  <c r="E70" i="26"/>
  <c r="E75" i="24"/>
  <c r="E68" i="23"/>
  <c r="E77" i="25"/>
  <c r="E94" i="24"/>
  <c r="E93" i="21"/>
  <c r="E80" i="23"/>
  <c r="E96" i="25"/>
  <c r="E92" i="24"/>
  <c r="E106" i="26"/>
  <c r="E91" i="23"/>
  <c r="E75" i="21"/>
  <c r="E66" i="23"/>
  <c r="E73" i="23"/>
  <c r="E70" i="23"/>
  <c r="E76" i="23"/>
  <c r="B20" i="20"/>
  <c r="B273" i="3"/>
  <c r="E98" i="11"/>
  <c r="E102" i="11"/>
  <c r="E71" i="11"/>
  <c r="E68" i="17"/>
  <c r="E76" i="11"/>
  <c r="E88" i="11"/>
  <c r="E73" i="11"/>
  <c r="E70" i="18"/>
  <c r="E110" i="11"/>
  <c r="E84" i="17"/>
  <c r="E82" i="17"/>
  <c r="E104" i="11"/>
  <c r="E72" i="17"/>
  <c r="E97" i="17"/>
  <c r="E96" i="17"/>
  <c r="E100" i="18"/>
  <c r="E82" i="11"/>
  <c r="E100" i="17"/>
  <c r="E72" i="18"/>
  <c r="E86" i="17"/>
  <c r="E74" i="18"/>
  <c r="E73" i="17"/>
  <c r="E87" i="17"/>
  <c r="E67" i="17"/>
  <c r="E77" i="18"/>
  <c r="E107" i="18"/>
  <c r="E92" i="18"/>
  <c r="A115" i="13"/>
  <c r="A116" i="13" s="1"/>
  <c r="D36" i="5"/>
  <c r="A37" i="5"/>
  <c r="A38" i="5" s="1"/>
  <c r="A39" i="5" s="1"/>
  <c r="E36" i="5"/>
  <c r="A32" i="6"/>
  <c r="C32" i="6" s="1"/>
  <c r="B45" i="7"/>
  <c r="A45" i="7"/>
  <c r="J44" i="7"/>
  <c r="A81" i="9"/>
  <c r="B81" i="9"/>
  <c r="J80" i="9"/>
  <c r="A26" i="12"/>
  <c r="G25" i="12"/>
  <c r="E111" i="26" l="1"/>
  <c r="E111" i="18"/>
  <c r="E111" i="17"/>
  <c r="E111" i="21"/>
  <c r="E111" i="11"/>
  <c r="E111" i="23"/>
  <c r="E111" i="25"/>
  <c r="E111" i="24"/>
  <c r="D38" i="5"/>
  <c r="E38" i="5"/>
  <c r="A117" i="13"/>
  <c r="D37" i="5"/>
  <c r="E37" i="5"/>
  <c r="B47" i="7"/>
  <c r="A47" i="7"/>
  <c r="J45" i="7"/>
  <c r="A27" i="12"/>
  <c r="G27" i="12" s="1"/>
  <c r="G26" i="12"/>
  <c r="B83" i="9"/>
  <c r="J81" i="9"/>
  <c r="A83" i="9"/>
  <c r="A33" i="6"/>
  <c r="C33" i="6" s="1"/>
  <c r="A118" i="13" l="1"/>
  <c r="A119" i="13" s="1"/>
  <c r="A120" i="13" s="1"/>
  <c r="A121" i="13" s="1"/>
  <c r="A122" i="13" s="1"/>
  <c r="A123" i="13" s="1"/>
  <c r="A124" i="13" s="1"/>
  <c r="A125" i="13" s="1"/>
  <c r="A126" i="13" s="1"/>
  <c r="A127" i="13" s="1"/>
  <c r="A128" i="13" s="1"/>
  <c r="A129" i="13" s="1"/>
  <c r="A130" i="13" s="1"/>
  <c r="A40" i="5"/>
  <c r="E39" i="5"/>
  <c r="D39" i="5"/>
  <c r="A34" i="6"/>
  <c r="C34" i="6" s="1"/>
  <c r="A48" i="7"/>
  <c r="J47" i="7"/>
  <c r="B48" i="7"/>
  <c r="J83" i="9"/>
  <c r="A84" i="9"/>
  <c r="B84" i="9"/>
  <c r="A131" i="13" l="1"/>
  <c r="C8" i="14" s="1"/>
  <c r="B34" i="3" s="1"/>
  <c r="A41" i="5"/>
  <c r="E40" i="5"/>
  <c r="D40" i="5"/>
  <c r="J48" i="7"/>
  <c r="A49" i="7"/>
  <c r="B49" i="7"/>
  <c r="A35" i="6"/>
  <c r="C35" i="6" s="1"/>
  <c r="B85" i="9"/>
  <c r="J84" i="9"/>
  <c r="A85" i="9"/>
  <c r="A132" i="13" l="1"/>
  <c r="A133" i="13" s="1"/>
  <c r="A134" i="13" s="1"/>
  <c r="A135" i="13" s="1"/>
  <c r="A136" i="13" s="1"/>
  <c r="A137" i="13" s="1"/>
  <c r="A138" i="13" s="1"/>
  <c r="A139" i="13" s="1"/>
  <c r="A140" i="13" s="1"/>
  <c r="A141" i="13" s="1"/>
  <c r="A142" i="13" s="1"/>
  <c r="A143" i="13" s="1"/>
  <c r="A144" i="13" s="1"/>
  <c r="A145" i="13" s="1"/>
  <c r="A42" i="5"/>
  <c r="A43" i="5" s="1"/>
  <c r="A44" i="5" s="1"/>
  <c r="D41" i="5"/>
  <c r="E41" i="5"/>
  <c r="A36" i="6"/>
  <c r="C36" i="6" s="1"/>
  <c r="A50" i="7"/>
  <c r="B50" i="7"/>
  <c r="J49" i="7"/>
  <c r="B87" i="9"/>
  <c r="J85" i="9"/>
  <c r="A87" i="9"/>
  <c r="A146" i="13" l="1"/>
  <c r="D43" i="5"/>
  <c r="E43" i="5"/>
  <c r="D42" i="5"/>
  <c r="E42" i="5"/>
  <c r="A88" i="9"/>
  <c r="B88" i="9"/>
  <c r="J87" i="9"/>
  <c r="J50" i="7"/>
  <c r="A53" i="7"/>
  <c r="A37" i="6"/>
  <c r="C37" i="6" s="1"/>
  <c r="A147" i="13" l="1"/>
  <c r="A148" i="13" s="1"/>
  <c r="A149" i="13" s="1"/>
  <c r="A150" i="13" s="1"/>
  <c r="A151" i="13" s="1"/>
  <c r="A152" i="13" s="1"/>
  <c r="A153" i="13" s="1"/>
  <c r="A154" i="13" s="1"/>
  <c r="A155" i="13" s="1"/>
  <c r="A156" i="13" s="1"/>
  <c r="A157" i="13" s="1"/>
  <c r="A158" i="13" s="1"/>
  <c r="A159" i="13" s="1"/>
  <c r="A160" i="13" s="1"/>
  <c r="A161" i="13" s="1"/>
  <c r="A162" i="13" s="1"/>
  <c r="A163" i="13" s="1"/>
  <c r="A164" i="13" s="1"/>
  <c r="A165" i="13" s="1"/>
  <c r="A166" i="13" s="1"/>
  <c r="A167" i="13" s="1"/>
  <c r="A168" i="13" s="1"/>
  <c r="A169" i="13" s="1"/>
  <c r="A170" i="13" s="1"/>
  <c r="A171" i="13" s="1"/>
  <c r="A172" i="13" s="1"/>
  <c r="A173" i="13" s="1"/>
  <c r="A174" i="13" s="1"/>
  <c r="A175" i="13" s="1"/>
  <c r="A176" i="13" s="1"/>
  <c r="A177" i="13" s="1"/>
  <c r="A178" i="13" s="1"/>
  <c r="A179" i="13" s="1"/>
  <c r="A180" i="13" s="1"/>
  <c r="A181" i="13" s="1"/>
  <c r="A182" i="13" s="1"/>
  <c r="A183" i="13" s="1"/>
  <c r="A184" i="13" s="1"/>
  <c r="A45" i="5"/>
  <c r="D44" i="5"/>
  <c r="E44" i="5"/>
  <c r="A38" i="6"/>
  <c r="A39" i="6" s="1"/>
  <c r="C39" i="6" s="1"/>
  <c r="A54" i="7"/>
  <c r="B54" i="7"/>
  <c r="A89" i="9"/>
  <c r="B89" i="9"/>
  <c r="J88" i="9"/>
  <c r="A185" i="13" l="1"/>
  <c r="A46" i="5"/>
  <c r="D45" i="5"/>
  <c r="E45" i="5"/>
  <c r="B90" i="9"/>
  <c r="J89" i="9"/>
  <c r="A90" i="9"/>
  <c r="A40" i="6"/>
  <c r="A41" i="6" s="1"/>
  <c r="A42" i="6" s="1"/>
  <c r="C42" i="6" s="1"/>
  <c r="A55" i="7"/>
  <c r="A186" i="13" l="1"/>
  <c r="A187" i="13" s="1"/>
  <c r="A188" i="13" s="1"/>
  <c r="A189" i="13" s="1"/>
  <c r="A47" i="5"/>
  <c r="D46" i="5"/>
  <c r="E46" i="5"/>
  <c r="J90" i="9"/>
  <c r="A92" i="9"/>
  <c r="B92" i="9"/>
  <c r="A56" i="7"/>
  <c r="J55" i="7"/>
  <c r="A43" i="6"/>
  <c r="C43" i="6" s="1"/>
  <c r="A190" i="13" l="1"/>
  <c r="A191" i="13" s="1"/>
  <c r="A192" i="13" s="1"/>
  <c r="A193" i="13" s="1"/>
  <c r="A194" i="13" s="1"/>
  <c r="A195" i="13" s="1"/>
  <c r="A196" i="13" s="1"/>
  <c r="A197" i="13" s="1"/>
  <c r="A198" i="13" s="1"/>
  <c r="A199" i="13" s="1"/>
  <c r="A200" i="13" s="1"/>
  <c r="A201" i="13" s="1"/>
  <c r="A202" i="13" s="1"/>
  <c r="A203" i="13" s="1"/>
  <c r="A204" i="13" s="1"/>
  <c r="A205" i="13" s="1"/>
  <c r="A206" i="13" s="1"/>
  <c r="A207" i="13" s="1"/>
  <c r="A208" i="13" s="1"/>
  <c r="A209" i="13" s="1"/>
  <c r="A210" i="13" s="1"/>
  <c r="C7" i="14"/>
  <c r="B33" i="3" s="1"/>
  <c r="A48" i="5"/>
  <c r="E47" i="5"/>
  <c r="D47" i="5"/>
  <c r="A44" i="6"/>
  <c r="C44" i="6" s="1"/>
  <c r="A57" i="7"/>
  <c r="A58" i="7" s="1"/>
  <c r="B58" i="7"/>
  <c r="J92" i="9"/>
  <c r="A94" i="9"/>
  <c r="B94" i="9"/>
  <c r="A211" i="13" l="1"/>
  <c r="A212" i="13" s="1"/>
  <c r="E48" i="5"/>
  <c r="D48" i="5"/>
  <c r="A49" i="5"/>
  <c r="A59" i="7"/>
  <c r="J58" i="7"/>
  <c r="B55" i="7"/>
  <c r="B59" i="7"/>
  <c r="J94" i="9"/>
  <c r="A97" i="9"/>
  <c r="A45" i="6"/>
  <c r="C45" i="6" s="1"/>
  <c r="A213" i="13" l="1"/>
  <c r="A50" i="5"/>
  <c r="E49" i="5"/>
  <c r="D49" i="5"/>
  <c r="A46" i="6"/>
  <c r="C46" i="6" s="1"/>
  <c r="B98" i="9"/>
  <c r="A98" i="9"/>
  <c r="G97" i="9"/>
  <c r="A61" i="7"/>
  <c r="J59" i="7"/>
  <c r="B61" i="7"/>
  <c r="B65" i="7"/>
  <c r="A214" i="13" l="1"/>
  <c r="A215" i="13" s="1"/>
  <c r="A216" i="13" s="1"/>
  <c r="A51" i="5"/>
  <c r="A52" i="5" s="1"/>
  <c r="A53" i="5" s="1"/>
  <c r="E50" i="5"/>
  <c r="D50" i="5"/>
  <c r="B99" i="9"/>
  <c r="G98" i="9"/>
  <c r="A99" i="9"/>
  <c r="A62" i="7"/>
  <c r="J61" i="7"/>
  <c r="B62" i="7"/>
  <c r="A47" i="6"/>
  <c r="C47" i="6" s="1"/>
  <c r="D52" i="5" l="1"/>
  <c r="E52" i="5"/>
  <c r="E51" i="5"/>
  <c r="D51" i="5"/>
  <c r="A100" i="9"/>
  <c r="J99" i="9"/>
  <c r="B27" i="7"/>
  <c r="J62" i="7"/>
  <c r="A63" i="7"/>
  <c r="B63" i="7"/>
  <c r="A48" i="6"/>
  <c r="C48" i="6" s="1"/>
  <c r="A217" i="13" l="1"/>
  <c r="A54" i="5"/>
  <c r="A55" i="5" s="1"/>
  <c r="D53" i="5"/>
  <c r="E53" i="5"/>
  <c r="A49" i="6"/>
  <c r="C49" i="6" s="1"/>
  <c r="J63" i="7"/>
  <c r="A65" i="7"/>
  <c r="G100" i="9"/>
  <c r="A101" i="9"/>
  <c r="B102" i="9" s="1"/>
  <c r="A56" i="5" l="1"/>
  <c r="E55" i="5"/>
  <c r="D55" i="5"/>
  <c r="A218" i="13"/>
  <c r="D54" i="5"/>
  <c r="E54" i="5"/>
  <c r="B29" i="7"/>
  <c r="J65" i="7"/>
  <c r="G101" i="9"/>
  <c r="A102" i="9"/>
  <c r="A50" i="6"/>
  <c r="C50" i="6" s="1"/>
  <c r="A219" i="13" l="1"/>
  <c r="A57" i="5"/>
  <c r="D56" i="5"/>
  <c r="E56" i="5"/>
  <c r="A51" i="6"/>
  <c r="C51" i="6" s="1"/>
  <c r="A103" i="9"/>
  <c r="J102" i="9"/>
  <c r="B103" i="9"/>
  <c r="A220" i="13" l="1"/>
  <c r="A221" i="13" s="1"/>
  <c r="A58" i="5"/>
  <c r="D57" i="5"/>
  <c r="E57" i="5"/>
  <c r="B105" i="9"/>
  <c r="B109" i="9"/>
  <c r="A105" i="9"/>
  <c r="A52" i="6"/>
  <c r="C52" i="6" s="1"/>
  <c r="A222" i="13" l="1"/>
  <c r="A223" i="13" s="1"/>
  <c r="A224" i="13" s="1"/>
  <c r="A225" i="13" s="1"/>
  <c r="A226" i="13" s="1"/>
  <c r="A227" i="13" s="1"/>
  <c r="A228" i="13" s="1"/>
  <c r="A229" i="13" s="1"/>
  <c r="A230" i="13" s="1"/>
  <c r="A231" i="13" s="1"/>
  <c r="A232" i="13" s="1"/>
  <c r="A233" i="13" s="1"/>
  <c r="A234" i="13" s="1"/>
  <c r="A235" i="13" s="1"/>
  <c r="A236" i="13" s="1"/>
  <c r="A237" i="13" s="1"/>
  <c r="A238" i="13" s="1"/>
  <c r="A239" i="13" s="1"/>
  <c r="C9" i="14"/>
  <c r="B35" i="3" s="1"/>
  <c r="A59" i="5"/>
  <c r="D58" i="5"/>
  <c r="E58" i="5"/>
  <c r="A106" i="9"/>
  <c r="B106" i="9"/>
  <c r="J105" i="9"/>
  <c r="A53" i="6"/>
  <c r="C53" i="6" s="1"/>
  <c r="B38" i="3" l="1"/>
  <c r="A240" i="13"/>
  <c r="A241" i="13" s="1"/>
  <c r="A242" i="13" s="1"/>
  <c r="A243" i="13" s="1"/>
  <c r="A244" i="13" s="1"/>
  <c r="A245" i="13" s="1"/>
  <c r="A246" i="13" s="1"/>
  <c r="A247" i="13" s="1"/>
  <c r="A248" i="13" s="1"/>
  <c r="A249" i="13" s="1"/>
  <c r="A250" i="13" s="1"/>
  <c r="A251" i="13" s="1"/>
  <c r="A252" i="13" s="1"/>
  <c r="A253" i="13" s="1"/>
  <c r="A254" i="13" s="1"/>
  <c r="A255" i="13" s="1"/>
  <c r="A256" i="13" s="1"/>
  <c r="A257" i="13" s="1"/>
  <c r="A258" i="13" s="1"/>
  <c r="A259" i="13" s="1"/>
  <c r="A260" i="13" s="1"/>
  <c r="A261" i="13" s="1"/>
  <c r="A262" i="13" s="1"/>
  <c r="A263" i="13" s="1"/>
  <c r="A264" i="13" s="1"/>
  <c r="A265" i="13" s="1"/>
  <c r="A266" i="13" s="1"/>
  <c r="A267" i="13" s="1"/>
  <c r="A268" i="13" s="1"/>
  <c r="A269" i="13" s="1"/>
  <c r="A270" i="13" s="1"/>
  <c r="A271" i="13" s="1"/>
  <c r="A272" i="13" s="1"/>
  <c r="A273" i="13" s="1"/>
  <c r="A274" i="13" s="1"/>
  <c r="A275" i="13" s="1"/>
  <c r="A276" i="13" s="1"/>
  <c r="A277" i="13" s="1"/>
  <c r="A278" i="13" s="1"/>
  <c r="A279" i="13" s="1"/>
  <c r="A280" i="13" s="1"/>
  <c r="A281" i="13" s="1"/>
  <c r="A282" i="13" s="1"/>
  <c r="A283" i="13" s="1"/>
  <c r="A284" i="13" s="1"/>
  <c r="A285" i="13" s="1"/>
  <c r="A286" i="13" s="1"/>
  <c r="A287" i="13" s="1"/>
  <c r="A288" i="13" s="1"/>
  <c r="A289" i="13" s="1"/>
  <c r="A290" i="13" s="1"/>
  <c r="A291" i="13" s="1"/>
  <c r="A292" i="13" s="1"/>
  <c r="A293" i="13" s="1"/>
  <c r="A294" i="13" s="1"/>
  <c r="A295" i="13" s="1"/>
  <c r="A296" i="13" s="1"/>
  <c r="A297" i="13" s="1"/>
  <c r="A298" i="13" s="1"/>
  <c r="A299" i="13" s="1"/>
  <c r="A300" i="13" s="1"/>
  <c r="A301" i="13" s="1"/>
  <c r="A302" i="13" s="1"/>
  <c r="A303" i="13" s="1"/>
  <c r="A304" i="13" s="1"/>
  <c r="A305" i="13" s="1"/>
  <c r="A306" i="13" s="1"/>
  <c r="A307" i="13" s="1"/>
  <c r="A308" i="13" s="1"/>
  <c r="A309" i="13" s="1"/>
  <c r="A310" i="13" s="1"/>
  <c r="A311" i="13" s="1"/>
  <c r="A312" i="13" s="1"/>
  <c r="A313" i="13" s="1"/>
  <c r="A314" i="13" s="1"/>
  <c r="A315" i="13" s="1"/>
  <c r="A316" i="13" s="1"/>
  <c r="A60" i="5"/>
  <c r="D59" i="5"/>
  <c r="E59" i="5"/>
  <c r="A54" i="6"/>
  <c r="C54" i="6" s="1"/>
  <c r="J106" i="9"/>
  <c r="A107" i="9"/>
  <c r="B107" i="9"/>
  <c r="B67" i="9"/>
  <c r="A317" i="13" l="1"/>
  <c r="B218" i="3"/>
  <c r="D40" i="3"/>
  <c r="D41" i="3" s="1"/>
  <c r="E60" i="5"/>
  <c r="D60" i="5"/>
  <c r="A61" i="5"/>
  <c r="A62" i="5" s="1"/>
  <c r="A63" i="5" s="1"/>
  <c r="A109" i="9"/>
  <c r="J107" i="9"/>
  <c r="A55" i="6"/>
  <c r="C55" i="6" s="1"/>
  <c r="A318" i="13" l="1"/>
  <c r="A319" i="13" s="1"/>
  <c r="A320" i="13" s="1"/>
  <c r="A321" i="13" s="1"/>
  <c r="A322" i="13" s="1"/>
  <c r="A323" i="13" s="1"/>
  <c r="A324" i="13" s="1"/>
  <c r="A325" i="13" s="1"/>
  <c r="A326" i="13" s="1"/>
  <c r="C45" i="3"/>
  <c r="C46" i="3"/>
  <c r="C43" i="3"/>
  <c r="C42" i="3"/>
  <c r="C44" i="3"/>
  <c r="D62" i="5"/>
  <c r="E62" i="5"/>
  <c r="E61" i="5"/>
  <c r="D61" i="5"/>
  <c r="A56" i="6"/>
  <c r="C56" i="6" s="1"/>
  <c r="J109" i="9"/>
  <c r="B69" i="9"/>
  <c r="A327" i="13" l="1"/>
  <c r="C47" i="3"/>
  <c r="A47" i="3" s="1"/>
  <c r="E45" i="3" s="1"/>
  <c r="D63" i="5"/>
  <c r="E63" i="5"/>
  <c r="A64" i="5"/>
  <c r="A65" i="5" s="1"/>
  <c r="A66" i="5" s="1"/>
  <c r="A57" i="6"/>
  <c r="C57" i="6" s="1"/>
  <c r="A328" i="13" l="1"/>
  <c r="A329" i="13" s="1"/>
  <c r="A330" i="13" s="1"/>
  <c r="A331" i="13" s="1"/>
  <c r="A332" i="13" s="1"/>
  <c r="A333" i="13" s="1"/>
  <c r="A334" i="13" s="1"/>
  <c r="A335" i="13" s="1"/>
  <c r="B49" i="3"/>
  <c r="B175" i="3"/>
  <c r="C32" i="2"/>
  <c r="C175" i="3"/>
  <c r="E64" i="5"/>
  <c r="D64" i="5"/>
  <c r="A58" i="6"/>
  <c r="C58" i="6" s="1"/>
  <c r="B174" i="3" l="1"/>
  <c r="M219" i="16" s="1"/>
  <c r="L199" i="16"/>
  <c r="L204" i="16" s="1"/>
  <c r="B53" i="3" s="1"/>
  <c r="L195" i="16"/>
  <c r="B229" i="3"/>
  <c r="C233" i="3" s="1"/>
  <c r="B236" i="3"/>
  <c r="C237" i="3" s="1"/>
  <c r="L196" i="16"/>
  <c r="F66" i="2"/>
  <c r="G66" i="2" s="1"/>
  <c r="L198" i="16"/>
  <c r="L203" i="16" s="1"/>
  <c r="B52" i="3" s="1"/>
  <c r="A336" i="13"/>
  <c r="I25" i="14"/>
  <c r="K34" i="14"/>
  <c r="F40" i="14"/>
  <c r="I33" i="14"/>
  <c r="H17" i="14"/>
  <c r="L34" i="14"/>
  <c r="G42" i="14"/>
  <c r="C15" i="14"/>
  <c r="J18" i="14"/>
  <c r="K27" i="14"/>
  <c r="H27" i="14"/>
  <c r="F23" i="14"/>
  <c r="H25" i="14"/>
  <c r="J41" i="14"/>
  <c r="K24" i="14"/>
  <c r="E19" i="14"/>
  <c r="F27" i="14"/>
  <c r="G23" i="14"/>
  <c r="L35" i="14"/>
  <c r="D19" i="14"/>
  <c r="L24" i="14"/>
  <c r="K31" i="14"/>
  <c r="G17" i="14"/>
  <c r="H26" i="14"/>
  <c r="I18" i="14"/>
  <c r="C23" i="14"/>
  <c r="E34" i="14"/>
  <c r="C43" i="14"/>
  <c r="F42" i="14"/>
  <c r="J15" i="14"/>
  <c r="C31" i="14"/>
  <c r="E26" i="14"/>
  <c r="G26" i="14"/>
  <c r="I32" i="14"/>
  <c r="G31" i="14"/>
  <c r="L27" i="14"/>
  <c r="D23" i="14"/>
  <c r="F18" i="14"/>
  <c r="E17" i="14"/>
  <c r="K15" i="14"/>
  <c r="L39" i="14"/>
  <c r="K41" i="14"/>
  <c r="J31" i="14"/>
  <c r="I17" i="14"/>
  <c r="L15" i="14"/>
  <c r="G16" i="14"/>
  <c r="C26" i="14"/>
  <c r="L40" i="14"/>
  <c r="H16" i="14"/>
  <c r="D42" i="14"/>
  <c r="K19" i="14"/>
  <c r="I27" i="14"/>
  <c r="H40" i="14"/>
  <c r="I43" i="14"/>
  <c r="H15" i="14"/>
  <c r="C18" i="14"/>
  <c r="C19" i="14"/>
  <c r="F34" i="14"/>
  <c r="H19" i="14"/>
  <c r="L16" i="14"/>
  <c r="I15" i="14"/>
  <c r="D34" i="14"/>
  <c r="F33" i="14"/>
  <c r="D31" i="14"/>
  <c r="H23" i="14"/>
  <c r="K25" i="14"/>
  <c r="J16" i="14"/>
  <c r="D18" i="14"/>
  <c r="D43" i="14"/>
  <c r="E24" i="14"/>
  <c r="L17" i="14"/>
  <c r="L18" i="14"/>
  <c r="G40" i="14"/>
  <c r="J26" i="14"/>
  <c r="J34" i="14"/>
  <c r="J19" i="14"/>
  <c r="C33" i="14"/>
  <c r="L42" i="14"/>
  <c r="E32" i="14"/>
  <c r="I39" i="14"/>
  <c r="E31" i="14"/>
  <c r="K42" i="14"/>
  <c r="H32" i="14"/>
  <c r="L32" i="14"/>
  <c r="C16" i="14"/>
  <c r="I19" i="14"/>
  <c r="J25" i="14"/>
  <c r="C24" i="14"/>
  <c r="E23" i="14"/>
  <c r="J32" i="14"/>
  <c r="F19" i="14"/>
  <c r="C32" i="14"/>
  <c r="C25" i="14"/>
  <c r="G32" i="14"/>
  <c r="G43" i="14"/>
  <c r="E42" i="14"/>
  <c r="K33" i="14"/>
  <c r="D26" i="14"/>
  <c r="F31" i="14"/>
  <c r="I40" i="14"/>
  <c r="E15" i="14"/>
  <c r="E33" i="14"/>
  <c r="H41" i="14"/>
  <c r="F41" i="14"/>
  <c r="D33" i="14"/>
  <c r="H31" i="14"/>
  <c r="F39" i="14"/>
  <c r="F35" i="14"/>
  <c r="C40" i="14"/>
  <c r="K16" i="14"/>
  <c r="C17" i="14"/>
  <c r="G27" i="14"/>
  <c r="K35" i="14"/>
  <c r="C39" i="14"/>
  <c r="E16" i="14"/>
  <c r="J23" i="14"/>
  <c r="H42" i="14"/>
  <c r="C41" i="14"/>
  <c r="F16" i="14"/>
  <c r="E41" i="14"/>
  <c r="F26" i="14"/>
  <c r="J42" i="14"/>
  <c r="J35" i="14"/>
  <c r="G35" i="14"/>
  <c r="J43" i="14"/>
  <c r="D39" i="14"/>
  <c r="G41" i="14"/>
  <c r="G34" i="14"/>
  <c r="H18" i="14"/>
  <c r="F24" i="14"/>
  <c r="J39" i="14"/>
  <c r="H43" i="14"/>
  <c r="L25" i="14"/>
  <c r="K43" i="14"/>
  <c r="D15" i="14"/>
  <c r="C34" i="14"/>
  <c r="I23" i="14"/>
  <c r="E40" i="14"/>
  <c r="C35" i="14"/>
  <c r="F15" i="14"/>
  <c r="D16" i="14"/>
  <c r="L33" i="14"/>
  <c r="K18" i="14"/>
  <c r="G24" i="14"/>
  <c r="L19" i="14"/>
  <c r="J24" i="14"/>
  <c r="G33" i="14"/>
  <c r="L31" i="14"/>
  <c r="D32" i="14"/>
  <c r="F17" i="14"/>
  <c r="D25" i="14"/>
  <c r="D35" i="14"/>
  <c r="E27" i="14"/>
  <c r="J33" i="14"/>
  <c r="E43" i="14"/>
  <c r="I42" i="14"/>
  <c r="H35" i="14"/>
  <c r="L41" i="14"/>
  <c r="G19" i="14"/>
  <c r="E25" i="14"/>
  <c r="I26" i="14"/>
  <c r="K26" i="14"/>
  <c r="D24" i="14"/>
  <c r="I34" i="14"/>
  <c r="F32" i="14"/>
  <c r="F25" i="14"/>
  <c r="D27" i="14"/>
  <c r="L23" i="14"/>
  <c r="D17" i="14"/>
  <c r="E39" i="14"/>
  <c r="F43" i="14"/>
  <c r="C27" i="14"/>
  <c r="G39" i="14"/>
  <c r="I31" i="14"/>
  <c r="K23" i="14"/>
  <c r="J27" i="14"/>
  <c r="G15" i="14"/>
  <c r="D40" i="14"/>
  <c r="I24" i="14"/>
  <c r="C42" i="14"/>
  <c r="K32" i="14"/>
  <c r="K17" i="14"/>
  <c r="K39" i="14"/>
  <c r="E35" i="14"/>
  <c r="I35" i="14"/>
  <c r="G18" i="14"/>
  <c r="K40" i="14"/>
  <c r="D41" i="14"/>
  <c r="I16" i="14"/>
  <c r="E18" i="14"/>
  <c r="G25" i="14"/>
  <c r="H24" i="14"/>
  <c r="I41" i="14"/>
  <c r="J17" i="14"/>
  <c r="H33" i="14"/>
  <c r="L26" i="14"/>
  <c r="H39" i="14"/>
  <c r="L43" i="14"/>
  <c r="J40" i="14"/>
  <c r="H34" i="14"/>
  <c r="E65" i="5"/>
  <c r="D65" i="5"/>
  <c r="A59" i="6"/>
  <c r="C59" i="6" s="1"/>
  <c r="C241" i="3" l="1"/>
  <c r="L197" i="16"/>
  <c r="L202" i="16" s="1"/>
  <c r="L205" i="16" s="1"/>
  <c r="O8" i="3" s="1"/>
  <c r="C240" i="3"/>
  <c r="C230" i="3"/>
  <c r="C239" i="3"/>
  <c r="C238" i="3"/>
  <c r="C234" i="3"/>
  <c r="C232" i="3"/>
  <c r="C231" i="3"/>
  <c r="A337" i="13"/>
  <c r="A338" i="13" s="1"/>
  <c r="A339" i="13" s="1"/>
  <c r="A340" i="13" s="1"/>
  <c r="A341" i="13" s="1"/>
  <c r="A342" i="13" s="1"/>
  <c r="A343" i="13" s="1"/>
  <c r="I11" i="14"/>
  <c r="D11" i="14"/>
  <c r="D7" i="14"/>
  <c r="I7" i="14"/>
  <c r="I9" i="14"/>
  <c r="D9" i="14"/>
  <c r="D10" i="14"/>
  <c r="I10" i="14"/>
  <c r="I8" i="14"/>
  <c r="D8" i="14"/>
  <c r="E66" i="5"/>
  <c r="A67" i="5"/>
  <c r="D66" i="5"/>
  <c r="A60" i="6"/>
  <c r="C60" i="6" s="1"/>
  <c r="B51" i="3" l="1"/>
  <c r="B54" i="3" s="1"/>
  <c r="G265" i="3"/>
  <c r="F265" i="3" s="1"/>
  <c r="F10" i="14"/>
  <c r="H10" i="14"/>
  <c r="E10" i="14"/>
  <c r="G10" i="14"/>
  <c r="N10" i="14"/>
  <c r="K10" i="14"/>
  <c r="J10" i="14"/>
  <c r="M10" i="14"/>
  <c r="L10" i="14"/>
  <c r="G8" i="14"/>
  <c r="F8" i="14"/>
  <c r="N8" i="14"/>
  <c r="E8" i="14"/>
  <c r="H8" i="14"/>
  <c r="E7" i="14"/>
  <c r="F7" i="14"/>
  <c r="N7" i="14"/>
  <c r="G7" i="14"/>
  <c r="G262" i="3"/>
  <c r="F262" i="3" s="1"/>
  <c r="H7" i="14"/>
  <c r="G263" i="3"/>
  <c r="F263" i="3" s="1"/>
  <c r="M8" i="14"/>
  <c r="K8" i="14"/>
  <c r="L8" i="14"/>
  <c r="J8" i="14"/>
  <c r="N9" i="14"/>
  <c r="K9" i="14"/>
  <c r="L9" i="14"/>
  <c r="M9" i="14"/>
  <c r="J9" i="14"/>
  <c r="F11" i="14"/>
  <c r="H11" i="14"/>
  <c r="E11" i="14"/>
  <c r="G11" i="14"/>
  <c r="N11" i="14"/>
  <c r="G266" i="3"/>
  <c r="F266" i="3" s="1"/>
  <c r="G9" i="14"/>
  <c r="H9" i="14"/>
  <c r="E9" i="14"/>
  <c r="F9" i="14"/>
  <c r="G264" i="3"/>
  <c r="F264" i="3" s="1"/>
  <c r="L7" i="14"/>
  <c r="M7" i="14"/>
  <c r="K7" i="14"/>
  <c r="J7" i="14"/>
  <c r="K11" i="14"/>
  <c r="M11" i="14"/>
  <c r="L11" i="14"/>
  <c r="J11" i="14"/>
  <c r="D67" i="5"/>
  <c r="A68" i="5"/>
  <c r="E67" i="5"/>
  <c r="A61" i="6"/>
  <c r="C61" i="6" s="1"/>
  <c r="L20" i="2" l="1"/>
  <c r="I37" i="3"/>
  <c r="E266" i="3"/>
  <c r="D266" i="3" s="1"/>
  <c r="L19" i="2"/>
  <c r="E265" i="3"/>
  <c r="D265" i="3" s="1"/>
  <c r="I36" i="3"/>
  <c r="L16" i="2"/>
  <c r="E262" i="3"/>
  <c r="D262" i="3" s="1"/>
  <c r="I33" i="3"/>
  <c r="E264" i="3"/>
  <c r="D264" i="3" s="1"/>
  <c r="L18" i="2"/>
  <c r="I35" i="3"/>
  <c r="E263" i="3"/>
  <c r="D263" i="3" s="1"/>
  <c r="L17" i="2"/>
  <c r="I34" i="3"/>
  <c r="A69" i="5"/>
  <c r="D68" i="5"/>
  <c r="E68" i="5"/>
  <c r="A62" i="6"/>
  <c r="C62" i="6" s="1"/>
  <c r="E69" i="5" l="1"/>
  <c r="D69" i="5"/>
  <c r="A70" i="5"/>
  <c r="A63" i="6"/>
  <c r="C63" i="6" s="1"/>
  <c r="D70" i="5" l="1"/>
  <c r="A71" i="5"/>
  <c r="E70" i="5"/>
  <c r="A64" i="6"/>
  <c r="C64" i="6" s="1"/>
  <c r="D71" i="5" l="1"/>
  <c r="E71" i="5"/>
  <c r="A72" i="5"/>
  <c r="A73" i="5" s="1"/>
  <c r="A74" i="5" s="1"/>
  <c r="A65" i="6"/>
  <c r="C65" i="6" s="1"/>
  <c r="D73" i="5" l="1"/>
  <c r="E73" i="5"/>
  <c r="E72" i="5"/>
  <c r="D72" i="5"/>
  <c r="A75" i="5"/>
  <c r="A76" i="5" s="1"/>
  <c r="A66" i="6"/>
  <c r="C66" i="6" s="1"/>
  <c r="D75" i="5" l="1"/>
  <c r="E75" i="5"/>
  <c r="D74" i="5"/>
  <c r="E74" i="5"/>
  <c r="A67" i="6"/>
  <c r="C67" i="6" s="1"/>
  <c r="D76" i="5" l="1"/>
  <c r="A77" i="5"/>
  <c r="E76" i="5"/>
  <c r="A68" i="6"/>
  <c r="C68" i="6" s="1"/>
  <c r="D77" i="5" l="1"/>
  <c r="A78" i="5"/>
  <c r="E77" i="5"/>
  <c r="A69" i="6"/>
  <c r="C69" i="6" s="1"/>
  <c r="A79" i="5" l="1"/>
  <c r="D78" i="5"/>
  <c r="E78" i="5"/>
  <c r="A70" i="6"/>
  <c r="C70" i="6" s="1"/>
  <c r="D79" i="5" l="1"/>
  <c r="E79" i="5"/>
  <c r="A80" i="5"/>
  <c r="A71" i="6"/>
  <c r="C71" i="6" s="1"/>
  <c r="D80" i="5" l="1"/>
  <c r="E80" i="5"/>
  <c r="A81" i="5"/>
  <c r="A72" i="6"/>
  <c r="C72" i="6" s="1"/>
  <c r="D81" i="5" l="1"/>
  <c r="E81" i="5"/>
  <c r="A82" i="5"/>
  <c r="A73" i="6"/>
  <c r="C73" i="6" s="1"/>
  <c r="D82" i="5" l="1"/>
  <c r="E82" i="5"/>
  <c r="A83" i="5"/>
  <c r="A74" i="6"/>
  <c r="A75" i="6" s="1"/>
  <c r="C75" i="6" s="1"/>
  <c r="D83" i="5" l="1"/>
  <c r="A84" i="5"/>
  <c r="E83" i="5"/>
  <c r="A76" i="6"/>
  <c r="A77" i="6" s="1"/>
  <c r="A78" i="6" s="1"/>
  <c r="C78" i="6" s="1"/>
  <c r="D84" i="5" l="1"/>
  <c r="A85" i="5"/>
  <c r="E84" i="5"/>
  <c r="A79" i="6"/>
  <c r="C79" i="6" s="1"/>
  <c r="A86" i="5" l="1"/>
  <c r="A87" i="5" s="1"/>
  <c r="A88" i="5" s="1"/>
  <c r="E85" i="5"/>
  <c r="D85" i="5"/>
  <c r="A80" i="6"/>
  <c r="C80" i="6" s="1"/>
  <c r="D87" i="5" l="1"/>
  <c r="E87" i="5"/>
  <c r="D86" i="5"/>
  <c r="E86" i="5"/>
  <c r="A81" i="6"/>
  <c r="C81" i="6" s="1"/>
  <c r="E88" i="5" l="1"/>
  <c r="A89" i="5"/>
  <c r="D88" i="5"/>
  <c r="A82" i="6"/>
  <c r="C82" i="6" s="1"/>
  <c r="E89" i="5" l="1"/>
  <c r="A90" i="5"/>
  <c r="D89" i="5"/>
  <c r="A83" i="6"/>
  <c r="C83" i="6" s="1"/>
  <c r="D90" i="5" l="1"/>
  <c r="E90" i="5"/>
  <c r="A91" i="5"/>
  <c r="A84" i="6"/>
  <c r="C84" i="6" s="1"/>
  <c r="A92" i="5" l="1"/>
  <c r="A93" i="5" s="1"/>
  <c r="D91" i="5"/>
  <c r="E91" i="5"/>
  <c r="A85" i="6"/>
  <c r="C85" i="6" s="1"/>
  <c r="E92" i="5" l="1"/>
  <c r="D92" i="5"/>
  <c r="A86" i="6"/>
  <c r="C86" i="6" s="1"/>
  <c r="D93" i="5" l="1"/>
  <c r="E93" i="5"/>
  <c r="A94" i="5"/>
  <c r="A87" i="6"/>
  <c r="C87" i="6" s="1"/>
  <c r="D94" i="5" l="1"/>
  <c r="E94" i="5"/>
  <c r="A95" i="5"/>
  <c r="A88" i="6"/>
  <c r="C88" i="6" s="1"/>
  <c r="A96" i="5" l="1"/>
  <c r="E95" i="5"/>
  <c r="D95" i="5"/>
  <c r="A89" i="6"/>
  <c r="C89" i="6" s="1"/>
  <c r="A97" i="5" l="1"/>
  <c r="E96" i="5"/>
  <c r="D96" i="5"/>
  <c r="A90" i="6"/>
  <c r="C90" i="6" s="1"/>
  <c r="A98" i="5" l="1"/>
  <c r="E97" i="5"/>
  <c r="D97" i="5"/>
  <c r="A91" i="6"/>
  <c r="C91" i="6" s="1"/>
  <c r="E98" i="5" l="1"/>
  <c r="A99" i="5"/>
  <c r="D98" i="5"/>
  <c r="A92" i="6"/>
  <c r="C92" i="6" s="1"/>
  <c r="D99" i="5" l="1"/>
  <c r="A100" i="5"/>
  <c r="E99" i="5"/>
  <c r="A93" i="6"/>
  <c r="C93" i="6" s="1"/>
  <c r="E100" i="5" l="1"/>
  <c r="D100" i="5"/>
  <c r="A101" i="5"/>
  <c r="A94" i="6"/>
  <c r="C94" i="6" s="1"/>
  <c r="D101" i="5" l="1"/>
  <c r="E101" i="5"/>
  <c r="A102" i="5"/>
  <c r="A95" i="6"/>
  <c r="C95" i="6" s="1"/>
  <c r="D102" i="5" l="1"/>
  <c r="A103" i="5"/>
  <c r="E102" i="5"/>
  <c r="A96" i="6"/>
  <c r="C96" i="6" s="1"/>
  <c r="E103" i="5" l="1"/>
  <c r="D103" i="5"/>
  <c r="A104" i="5"/>
  <c r="A97" i="6"/>
  <c r="C97" i="6" s="1"/>
  <c r="A105" i="5" l="1"/>
  <c r="D104" i="5"/>
  <c r="E104" i="5"/>
  <c r="A98" i="6"/>
  <c r="C98" i="6" s="1"/>
  <c r="E105" i="5" l="1"/>
  <c r="A106" i="5"/>
  <c r="D105" i="5"/>
  <c r="A99" i="6"/>
  <c r="C99" i="6" s="1"/>
  <c r="D106" i="5" l="1"/>
  <c r="A107" i="5"/>
  <c r="E106" i="5"/>
  <c r="A100" i="6"/>
  <c r="C100" i="6" s="1"/>
  <c r="D107" i="5" l="1"/>
  <c r="A108" i="5"/>
  <c r="A109" i="5" s="1"/>
  <c r="A110" i="5" s="1"/>
  <c r="E107" i="5"/>
  <c r="A101" i="6"/>
  <c r="C101" i="6" s="1"/>
  <c r="D109" i="5" l="1"/>
  <c r="E109" i="5"/>
  <c r="E108" i="5"/>
  <c r="D108" i="5"/>
  <c r="A102" i="6"/>
  <c r="C102" i="6" s="1"/>
  <c r="E110" i="5" l="1"/>
  <c r="D110" i="5"/>
  <c r="A111" i="5"/>
  <c r="A103" i="6"/>
  <c r="C103" i="6" s="1"/>
  <c r="A112" i="5" l="1"/>
  <c r="A113" i="5" s="1"/>
  <c r="A114" i="5" s="1"/>
  <c r="E111" i="5"/>
  <c r="D111" i="5"/>
  <c r="A104" i="6"/>
  <c r="C104" i="6" s="1"/>
  <c r="E113" i="5" l="1"/>
  <c r="D113" i="5"/>
  <c r="D114" i="5"/>
  <c r="E114" i="5"/>
  <c r="D112" i="5"/>
  <c r="E112" i="5"/>
  <c r="A115" i="5"/>
  <c r="A116" i="5" s="1"/>
  <c r="A105" i="6"/>
  <c r="C105" i="6" s="1"/>
  <c r="D115" i="5" l="1"/>
  <c r="E115" i="5"/>
  <c r="A106" i="6"/>
  <c r="C106" i="6" s="1"/>
  <c r="E116" i="5" l="1"/>
  <c r="D116" i="5"/>
  <c r="A117" i="5"/>
  <c r="A118" i="5" s="1"/>
  <c r="A107" i="6"/>
  <c r="C107" i="6" s="1"/>
  <c r="A119" i="5" l="1"/>
  <c r="E118" i="5"/>
  <c r="D118" i="5"/>
  <c r="E117" i="5"/>
  <c r="D117" i="5"/>
  <c r="A108" i="6"/>
  <c r="C108" i="6" s="1"/>
  <c r="A120" i="5" l="1"/>
  <c r="D119" i="5"/>
  <c r="E119" i="5"/>
  <c r="A109" i="6"/>
  <c r="C109" i="6" s="1"/>
  <c r="D120" i="5" l="1"/>
  <c r="A121" i="5"/>
  <c r="E120" i="5"/>
  <c r="A110" i="6"/>
  <c r="A111" i="6" s="1"/>
  <c r="C111" i="6" s="1"/>
  <c r="D121" i="5" l="1"/>
  <c r="A122" i="5"/>
  <c r="E121" i="5"/>
  <c r="A112" i="6"/>
  <c r="A113" i="6" s="1"/>
  <c r="A114" i="6" s="1"/>
  <c r="C114" i="6" s="1"/>
  <c r="D122" i="5" l="1"/>
  <c r="A123" i="5"/>
  <c r="E122" i="5"/>
  <c r="A115" i="6"/>
  <c r="C115" i="6" s="1"/>
  <c r="E123" i="5" l="1"/>
  <c r="D123" i="5"/>
  <c r="A124" i="5"/>
  <c r="A116" i="6"/>
  <c r="C116" i="6" s="1"/>
  <c r="A125" i="5" l="1"/>
  <c r="D124" i="5"/>
  <c r="E124" i="5"/>
  <c r="A117" i="6"/>
  <c r="C117" i="6" s="1"/>
  <c r="D125" i="5" l="1"/>
  <c r="E125" i="5"/>
  <c r="A126" i="5"/>
  <c r="A118" i="6"/>
  <c r="C118" i="6" s="1"/>
  <c r="A127" i="5" l="1"/>
  <c r="E126" i="5"/>
  <c r="D126" i="5"/>
  <c r="A119" i="6"/>
  <c r="C119" i="6" s="1"/>
  <c r="D127" i="5" l="1"/>
  <c r="E127" i="5"/>
  <c r="A128" i="5"/>
  <c r="A120" i="6"/>
  <c r="C120" i="6" s="1"/>
  <c r="D128" i="5" l="1"/>
  <c r="A129" i="5"/>
  <c r="E128" i="5"/>
  <c r="A121" i="6"/>
  <c r="C121" i="6" s="1"/>
  <c r="D129" i="5" l="1"/>
  <c r="A130" i="5"/>
  <c r="E129" i="5"/>
  <c r="A122" i="6"/>
  <c r="C122" i="6" s="1"/>
  <c r="E130" i="5" l="1"/>
  <c r="A131" i="5"/>
  <c r="A132" i="5" s="1"/>
  <c r="A133" i="5" s="1"/>
  <c r="D130" i="5"/>
  <c r="A123" i="6"/>
  <c r="C123" i="6" s="1"/>
  <c r="D132" i="5" l="1"/>
  <c r="E132" i="5"/>
  <c r="D131" i="5"/>
  <c r="E131" i="5"/>
  <c r="A124" i="6"/>
  <c r="C124" i="6" s="1"/>
  <c r="A134" i="5" l="1"/>
  <c r="E133" i="5"/>
  <c r="D133" i="5"/>
  <c r="A125" i="6"/>
  <c r="C125" i="6" s="1"/>
  <c r="E134" i="5" l="1"/>
  <c r="A135" i="5"/>
  <c r="D134" i="5"/>
  <c r="A126" i="6"/>
  <c r="C126" i="6" s="1"/>
  <c r="D135" i="5" l="1"/>
  <c r="E135" i="5"/>
  <c r="A136" i="5"/>
  <c r="A127" i="6"/>
  <c r="C127" i="6" s="1"/>
  <c r="A137" i="5" l="1"/>
  <c r="D136" i="5"/>
  <c r="E136" i="5"/>
  <c r="A128" i="6"/>
  <c r="C128" i="6" s="1"/>
  <c r="D137" i="5" l="1"/>
  <c r="E137" i="5"/>
  <c r="A138" i="5"/>
  <c r="A129" i="6"/>
  <c r="C129" i="6" s="1"/>
  <c r="D138" i="5" l="1"/>
  <c r="E138" i="5"/>
  <c r="A139" i="5"/>
  <c r="A140" i="5" s="1"/>
  <c r="A141" i="5" s="1"/>
  <c r="A130" i="6"/>
  <c r="C130" i="6" s="1"/>
  <c r="D139" i="5" l="1"/>
  <c r="E139" i="5"/>
  <c r="E140" i="5"/>
  <c r="D140" i="5"/>
  <c r="A131" i="6"/>
  <c r="C131" i="6" s="1"/>
  <c r="E141" i="5" l="1"/>
  <c r="A142" i="5"/>
  <c r="D141" i="5"/>
  <c r="A132" i="6"/>
  <c r="C132" i="6" s="1"/>
  <c r="D142" i="5" l="1"/>
  <c r="E142" i="5"/>
  <c r="A143" i="5"/>
  <c r="A133" i="6"/>
  <c r="C133" i="6" s="1"/>
  <c r="D143" i="5" l="1"/>
  <c r="E143" i="5"/>
  <c r="A144" i="5"/>
  <c r="A145" i="5" s="1"/>
  <c r="A134" i="6"/>
  <c r="C134" i="6" s="1"/>
  <c r="A146" i="5" l="1"/>
  <c r="A147" i="5" s="1"/>
  <c r="A148" i="5" s="1"/>
  <c r="D145" i="5"/>
  <c r="E145" i="5"/>
  <c r="D144" i="5"/>
  <c r="E144" i="5"/>
  <c r="A135" i="6"/>
  <c r="C135" i="6" s="1"/>
  <c r="E147" i="5" l="1"/>
  <c r="D147" i="5"/>
  <c r="D146" i="5"/>
  <c r="E146" i="5"/>
  <c r="A136" i="6"/>
  <c r="C136" i="6" s="1"/>
  <c r="A149" i="5" l="1"/>
  <c r="A150" i="5" s="1"/>
  <c r="A151" i="5" s="1"/>
  <c r="D148" i="5"/>
  <c r="E148" i="5"/>
  <c r="A137" i="6"/>
  <c r="C137" i="6" s="1"/>
  <c r="D150" i="5" l="1"/>
  <c r="E150" i="5"/>
  <c r="D149" i="5"/>
  <c r="E149" i="5"/>
  <c r="A138" i="6"/>
  <c r="C138" i="6" s="1"/>
  <c r="D151" i="5" l="1"/>
  <c r="A152" i="5"/>
  <c r="E151" i="5"/>
  <c r="A139" i="6"/>
  <c r="C139" i="6" s="1"/>
  <c r="E152" i="5" l="1"/>
  <c r="D152" i="5"/>
  <c r="A153" i="5"/>
  <c r="A140" i="6"/>
  <c r="C140" i="6" s="1"/>
  <c r="A154" i="5" l="1"/>
  <c r="E153" i="5"/>
  <c r="D153" i="5"/>
  <c r="A141" i="6"/>
  <c r="C141" i="6" s="1"/>
  <c r="E154" i="5" l="1"/>
  <c r="D154" i="5"/>
  <c r="A155" i="5"/>
  <c r="A142" i="6"/>
  <c r="C142" i="6" s="1"/>
  <c r="A156" i="5" l="1"/>
  <c r="D155" i="5"/>
  <c r="E155" i="5"/>
  <c r="A143" i="6"/>
  <c r="C143" i="6" s="1"/>
  <c r="A157" i="5" l="1"/>
  <c r="E156" i="5"/>
  <c r="D156" i="5"/>
  <c r="A144" i="6"/>
  <c r="C144" i="6" s="1"/>
  <c r="D157" i="5" l="1"/>
  <c r="E157" i="5"/>
  <c r="A158" i="5"/>
  <c r="A159" i="5" s="1"/>
  <c r="A160" i="5" s="1"/>
  <c r="A145" i="6"/>
  <c r="C145" i="6" s="1"/>
  <c r="D159" i="5" l="1"/>
  <c r="E159" i="5"/>
  <c r="D160" i="5"/>
  <c r="E160" i="5"/>
  <c r="E158" i="5"/>
  <c r="D158" i="5"/>
  <c r="A146" i="6"/>
  <c r="A147" i="6" s="1"/>
  <c r="C147" i="6" s="1"/>
  <c r="A161" i="5" l="1"/>
  <c r="A148" i="6"/>
  <c r="A149" i="6" s="1"/>
  <c r="A150" i="6" s="1"/>
  <c r="C150" i="6" s="1"/>
  <c r="E161" i="5" l="1"/>
  <c r="A162" i="5"/>
  <c r="D161" i="5"/>
  <c r="A151" i="6"/>
  <c r="C151" i="6" s="1"/>
  <c r="D162" i="5" l="1"/>
  <c r="E162" i="5"/>
  <c r="A163" i="5"/>
  <c r="A152" i="6"/>
  <c r="C152" i="6" s="1"/>
  <c r="E163" i="5" l="1"/>
  <c r="A164" i="5"/>
  <c r="D163" i="5"/>
  <c r="A153" i="6"/>
  <c r="C153" i="6" s="1"/>
  <c r="D164" i="5" l="1"/>
  <c r="A165" i="5"/>
  <c r="E164" i="5"/>
  <c r="A154" i="6"/>
  <c r="C154" i="6" s="1"/>
  <c r="A166" i="5" l="1"/>
  <c r="D165" i="5"/>
  <c r="E165" i="5"/>
  <c r="A155" i="6"/>
  <c r="C155" i="6" s="1"/>
  <c r="A167" i="5" l="1"/>
  <c r="D166" i="5"/>
  <c r="E166" i="5"/>
  <c r="A156" i="6"/>
  <c r="C156" i="6" s="1"/>
  <c r="A168" i="5" l="1"/>
  <c r="E167" i="5"/>
  <c r="D167" i="5"/>
  <c r="A157" i="6"/>
  <c r="C157" i="6" s="1"/>
  <c r="E168" i="5" l="1"/>
  <c r="D168" i="5"/>
  <c r="A169" i="5"/>
  <c r="A158" i="6"/>
  <c r="C158" i="6" s="1"/>
  <c r="A170" i="5" l="1"/>
  <c r="D169" i="5"/>
  <c r="E169" i="5"/>
  <c r="A159" i="6"/>
  <c r="C159" i="6" s="1"/>
  <c r="A171" i="5" l="1"/>
  <c r="E170" i="5"/>
  <c r="D170" i="5"/>
  <c r="A160" i="6"/>
  <c r="C160" i="6" s="1"/>
  <c r="A172" i="5" l="1"/>
  <c r="D171" i="5"/>
  <c r="E171" i="5"/>
  <c r="A161" i="6"/>
  <c r="C161" i="6" s="1"/>
  <c r="D172" i="5" l="1"/>
  <c r="A173" i="5"/>
  <c r="E172" i="5"/>
  <c r="A162" i="6"/>
  <c r="C162" i="6" s="1"/>
  <c r="B76" i="11" l="1"/>
  <c r="B69" i="18"/>
  <c r="B81" i="18"/>
  <c r="B83" i="18"/>
  <c r="B86" i="18"/>
  <c r="B92" i="18"/>
  <c r="B95" i="18"/>
  <c r="B101" i="18"/>
  <c r="B104" i="18"/>
  <c r="B109" i="18"/>
  <c r="B78" i="17"/>
  <c r="B88" i="17"/>
  <c r="B110" i="11"/>
  <c r="B79" i="11"/>
  <c r="B68" i="18"/>
  <c r="B80" i="18"/>
  <c r="B69" i="17"/>
  <c r="B87" i="17"/>
  <c r="B93" i="17"/>
  <c r="B96" i="17"/>
  <c r="B105" i="11"/>
  <c r="B90" i="11"/>
  <c r="B77" i="18"/>
  <c r="B82" i="18"/>
  <c r="B87" i="18"/>
  <c r="B100" i="18"/>
  <c r="B105" i="18"/>
  <c r="B110" i="18"/>
  <c r="B99" i="17"/>
  <c r="B106" i="17"/>
  <c r="B93" i="11"/>
  <c r="B69" i="11"/>
  <c r="B72" i="11"/>
  <c r="B90" i="17"/>
  <c r="B94" i="18"/>
  <c r="B71" i="11"/>
  <c r="B96" i="11"/>
  <c r="B103" i="17"/>
  <c r="B103" i="18"/>
  <c r="B74" i="18"/>
  <c r="B75" i="11"/>
  <c r="B109" i="11"/>
  <c r="B83" i="17"/>
  <c r="B102" i="18"/>
  <c r="B84" i="18"/>
  <c r="B98" i="11"/>
  <c r="B98" i="17"/>
  <c r="B75" i="17"/>
  <c r="B89" i="18"/>
  <c r="B94" i="11"/>
  <c r="B67" i="11"/>
  <c r="B85" i="11"/>
  <c r="B101" i="11"/>
  <c r="B104" i="17"/>
  <c r="B91" i="17"/>
  <c r="B70" i="17"/>
  <c r="B88" i="18"/>
  <c r="B66" i="18"/>
  <c r="B81" i="11"/>
  <c r="B99" i="11"/>
  <c r="B84" i="11"/>
  <c r="B68" i="11"/>
  <c r="B84" i="17"/>
  <c r="B71" i="18"/>
  <c r="B77" i="11"/>
  <c r="B102" i="11"/>
  <c r="B80" i="17"/>
  <c r="B97" i="18"/>
  <c r="B78" i="11"/>
  <c r="B109" i="17"/>
  <c r="B79" i="17"/>
  <c r="B96" i="18"/>
  <c r="B70" i="18"/>
  <c r="B106" i="11"/>
  <c r="B95" i="17"/>
  <c r="B71" i="17"/>
  <c r="B79" i="18"/>
  <c r="B105" i="17"/>
  <c r="B70" i="11"/>
  <c r="B89" i="11"/>
  <c r="B104" i="11"/>
  <c r="B100" i="17"/>
  <c r="B85" i="17"/>
  <c r="B67" i="17"/>
  <c r="B78" i="18"/>
  <c r="B73" i="18"/>
  <c r="B103" i="11"/>
  <c r="B100" i="11"/>
  <c r="B74" i="11"/>
  <c r="B77" i="17"/>
  <c r="B83" i="11"/>
  <c r="B108" i="11"/>
  <c r="B73" i="17"/>
  <c r="B91" i="18"/>
  <c r="B87" i="11"/>
  <c r="B102" i="17"/>
  <c r="B76" i="17"/>
  <c r="B93" i="18"/>
  <c r="B108" i="17"/>
  <c r="B92" i="17"/>
  <c r="B68" i="17"/>
  <c r="B76" i="18"/>
  <c r="B66" i="11"/>
  <c r="B82" i="17"/>
  <c r="B73" i="11"/>
  <c r="B92" i="11"/>
  <c r="B107" i="11"/>
  <c r="B97" i="17"/>
  <c r="B81" i="17"/>
  <c r="B106" i="18"/>
  <c r="B75" i="18"/>
  <c r="B107" i="18"/>
  <c r="B80" i="11"/>
  <c r="B66" i="17"/>
  <c r="B86" i="11"/>
  <c r="B110" i="17"/>
  <c r="B108" i="18"/>
  <c r="B85" i="18"/>
  <c r="B97" i="11"/>
  <c r="B89" i="17"/>
  <c r="B72" i="17"/>
  <c r="B90" i="18"/>
  <c r="B91" i="11"/>
  <c r="B101" i="17"/>
  <c r="B86" i="17"/>
  <c r="B99" i="18"/>
  <c r="B67" i="18"/>
  <c r="B88" i="11"/>
  <c r="B82" i="11"/>
  <c r="B95" i="11"/>
  <c r="B107" i="17"/>
  <c r="B94" i="17"/>
  <c r="B74" i="17"/>
  <c r="B98" i="18"/>
  <c r="B72" i="18"/>
  <c r="D173" i="5"/>
  <c r="E173" i="5"/>
  <c r="A174" i="5"/>
  <c r="B66" i="21" s="1"/>
  <c r="A163" i="6"/>
  <c r="C163" i="6" s="1"/>
  <c r="O13" i="26" l="1"/>
  <c r="O25" i="26"/>
  <c r="O37" i="26"/>
  <c r="O49" i="26"/>
  <c r="O27" i="25"/>
  <c r="O39" i="25"/>
  <c r="O51" i="25"/>
  <c r="O15" i="18"/>
  <c r="O27" i="18"/>
  <c r="O39" i="18"/>
  <c r="O51" i="18"/>
  <c r="O18" i="17"/>
  <c r="O30" i="17"/>
  <c r="O42" i="17"/>
  <c r="O54" i="17"/>
  <c r="O21" i="11"/>
  <c r="O33" i="11"/>
  <c r="O45" i="11"/>
  <c r="D12" i="11"/>
  <c r="O17" i="26"/>
  <c r="O31" i="25"/>
  <c r="O55" i="25"/>
  <c r="O19" i="18"/>
  <c r="O22" i="17"/>
  <c r="O25" i="11"/>
  <c r="O46" i="18"/>
  <c r="O37" i="17"/>
  <c r="O52" i="11"/>
  <c r="O12" i="26"/>
  <c r="O35" i="18"/>
  <c r="O29" i="11"/>
  <c r="O12" i="11"/>
  <c r="O48" i="25"/>
  <c r="O14" i="26"/>
  <c r="O26" i="26"/>
  <c r="O38" i="26"/>
  <c r="O50" i="26"/>
  <c r="O28" i="25"/>
  <c r="O40" i="25"/>
  <c r="O52" i="25"/>
  <c r="O16" i="18"/>
  <c r="O28" i="18"/>
  <c r="O40" i="18"/>
  <c r="O52" i="18"/>
  <c r="O19" i="17"/>
  <c r="O31" i="17"/>
  <c r="O43" i="17"/>
  <c r="O55" i="17"/>
  <c r="O22" i="11"/>
  <c r="O34" i="11"/>
  <c r="O46" i="11"/>
  <c r="O53" i="26"/>
  <c r="O43" i="25"/>
  <c r="O43" i="18"/>
  <c r="O46" i="17"/>
  <c r="O49" i="11"/>
  <c r="O13" i="17"/>
  <c r="O40" i="11"/>
  <c r="O23" i="25"/>
  <c r="O14" i="17"/>
  <c r="O41" i="11"/>
  <c r="O46" i="26"/>
  <c r="O15" i="26"/>
  <c r="O27" i="26"/>
  <c r="O39" i="26"/>
  <c r="O51" i="26"/>
  <c r="O29" i="25"/>
  <c r="O41" i="25"/>
  <c r="O53" i="25"/>
  <c r="O17" i="18"/>
  <c r="O29" i="18"/>
  <c r="O41" i="18"/>
  <c r="O53" i="18"/>
  <c r="O20" i="17"/>
  <c r="O32" i="17"/>
  <c r="O44" i="17"/>
  <c r="O56" i="17"/>
  <c r="O23" i="11"/>
  <c r="O35" i="11"/>
  <c r="O47" i="11"/>
  <c r="O41" i="26"/>
  <c r="O55" i="18"/>
  <c r="O13" i="11"/>
  <c r="O22" i="18"/>
  <c r="O49" i="17"/>
  <c r="O45" i="26"/>
  <c r="O23" i="18"/>
  <c r="O38" i="17"/>
  <c r="O53" i="11"/>
  <c r="O24" i="25"/>
  <c r="O12" i="21"/>
  <c r="O16" i="26"/>
  <c r="O28" i="26"/>
  <c r="O40" i="26"/>
  <c r="O52" i="26"/>
  <c r="O30" i="25"/>
  <c r="O42" i="25"/>
  <c r="O54" i="25"/>
  <c r="O18" i="18"/>
  <c r="O30" i="18"/>
  <c r="O42" i="18"/>
  <c r="O54" i="18"/>
  <c r="O21" i="17"/>
  <c r="O33" i="17"/>
  <c r="O45" i="17"/>
  <c r="O12" i="17"/>
  <c r="O24" i="11"/>
  <c r="O36" i="11"/>
  <c r="O48" i="11"/>
  <c r="O29" i="26"/>
  <c r="O31" i="18"/>
  <c r="O34" i="17"/>
  <c r="O37" i="11"/>
  <c r="O46" i="25"/>
  <c r="O34" i="18"/>
  <c r="O16" i="11"/>
  <c r="O33" i="26"/>
  <c r="O47" i="25"/>
  <c r="O47" i="18"/>
  <c r="O17" i="11"/>
  <c r="O34" i="26"/>
  <c r="O18" i="26"/>
  <c r="O30" i="26"/>
  <c r="O42" i="26"/>
  <c r="O54" i="26"/>
  <c r="O32" i="25"/>
  <c r="O44" i="25"/>
  <c r="O56" i="25"/>
  <c r="O20" i="18"/>
  <c r="O32" i="18"/>
  <c r="O44" i="18"/>
  <c r="O56" i="18"/>
  <c r="O23" i="17"/>
  <c r="O35" i="17"/>
  <c r="O47" i="17"/>
  <c r="O14" i="11"/>
  <c r="O26" i="11"/>
  <c r="O38" i="11"/>
  <c r="O50" i="11"/>
  <c r="O19" i="26"/>
  <c r="O31" i="26"/>
  <c r="O43" i="26"/>
  <c r="O55" i="26"/>
  <c r="O33" i="25"/>
  <c r="O45" i="25"/>
  <c r="O21" i="18"/>
  <c r="O33" i="18"/>
  <c r="O45" i="18"/>
  <c r="O12" i="18"/>
  <c r="O24" i="17"/>
  <c r="O36" i="17"/>
  <c r="O48" i="17"/>
  <c r="O15" i="11"/>
  <c r="O27" i="11"/>
  <c r="O39" i="11"/>
  <c r="O51" i="11"/>
  <c r="O20" i="26"/>
  <c r="O32" i="26"/>
  <c r="O44" i="26"/>
  <c r="O56" i="26"/>
  <c r="O34" i="25"/>
  <c r="O25" i="17"/>
  <c r="O28" i="11"/>
  <c r="O21" i="26"/>
  <c r="O35" i="25"/>
  <c r="O26" i="17"/>
  <c r="O50" i="17"/>
  <c r="O22" i="26"/>
  <c r="O36" i="25"/>
  <c r="O23" i="26"/>
  <c r="O49" i="25"/>
  <c r="O13" i="18"/>
  <c r="O16" i="17"/>
  <c r="O19" i="11"/>
  <c r="O29" i="17"/>
  <c r="O40" i="17"/>
  <c r="O44" i="11"/>
  <c r="O52" i="17"/>
  <c r="O50" i="18"/>
  <c r="O24" i="26"/>
  <c r="O50" i="25"/>
  <c r="O14" i="18"/>
  <c r="O17" i="17"/>
  <c r="O20" i="11"/>
  <c r="O42" i="11"/>
  <c r="O37" i="18"/>
  <c r="O37" i="25"/>
  <c r="O35" i="26"/>
  <c r="O24" i="18"/>
  <c r="O27" i="17"/>
  <c r="O30" i="11"/>
  <c r="O47" i="26"/>
  <c r="O32" i="11"/>
  <c r="O36" i="18"/>
  <c r="O41" i="17"/>
  <c r="O38" i="25"/>
  <c r="O36" i="26"/>
  <c r="O25" i="18"/>
  <c r="O28" i="17"/>
  <c r="O31" i="11"/>
  <c r="O26" i="18"/>
  <c r="O48" i="26"/>
  <c r="O39" i="17"/>
  <c r="O43" i="11"/>
  <c r="O38" i="18"/>
  <c r="O55" i="11"/>
  <c r="O53" i="17"/>
  <c r="O15" i="17"/>
  <c r="O25" i="25"/>
  <c r="O48" i="18"/>
  <c r="O51" i="17"/>
  <c r="O54" i="11"/>
  <c r="O26" i="25"/>
  <c r="O49" i="18"/>
  <c r="O56" i="11"/>
  <c r="O18" i="11"/>
  <c r="K83" i="26"/>
  <c r="K78" i="26"/>
  <c r="K73" i="26"/>
  <c r="K68" i="26"/>
  <c r="D54" i="26"/>
  <c r="D108" i="26" s="1"/>
  <c r="D51" i="26"/>
  <c r="D105" i="26" s="1"/>
  <c r="D48" i="26"/>
  <c r="D102" i="26" s="1"/>
  <c r="D45" i="26"/>
  <c r="D99" i="26" s="1"/>
  <c r="D42" i="26"/>
  <c r="D96" i="26" s="1"/>
  <c r="D39" i="26"/>
  <c r="D93" i="26" s="1"/>
  <c r="D36" i="26"/>
  <c r="D90" i="26" s="1"/>
  <c r="D33" i="26"/>
  <c r="D87" i="26" s="1"/>
  <c r="D30" i="26"/>
  <c r="D84" i="26" s="1"/>
  <c r="D27" i="26"/>
  <c r="D81" i="26" s="1"/>
  <c r="D24" i="26"/>
  <c r="D78" i="26" s="1"/>
  <c r="D21" i="26"/>
  <c r="D75" i="26" s="1"/>
  <c r="D18" i="26"/>
  <c r="D72" i="26" s="1"/>
  <c r="D15" i="26"/>
  <c r="D69" i="26" s="1"/>
  <c r="D12" i="26"/>
  <c r="D66" i="26" s="1"/>
  <c r="K110" i="25"/>
  <c r="K94" i="25"/>
  <c r="K78" i="25"/>
  <c r="K102" i="26"/>
  <c r="K79" i="26"/>
  <c r="D33" i="25"/>
  <c r="D87" i="25" s="1"/>
  <c r="K103" i="26"/>
  <c r="K98" i="26"/>
  <c r="K93" i="26"/>
  <c r="K88" i="26"/>
  <c r="K103" i="25"/>
  <c r="K96" i="25"/>
  <c r="K87" i="25"/>
  <c r="K80" i="25"/>
  <c r="D48" i="25"/>
  <c r="D102" i="25" s="1"/>
  <c r="K108" i="26"/>
  <c r="K75" i="26"/>
  <c r="K70" i="26"/>
  <c r="K105" i="25"/>
  <c r="K89" i="25"/>
  <c r="K102" i="25"/>
  <c r="K86" i="25"/>
  <c r="D45" i="25"/>
  <c r="D99" i="25" s="1"/>
  <c r="D24" i="25"/>
  <c r="D78" i="25" s="1"/>
  <c r="K95" i="26"/>
  <c r="K90" i="26"/>
  <c r="K85" i="26"/>
  <c r="K80" i="26"/>
  <c r="K98" i="25"/>
  <c r="K82" i="25"/>
  <c r="D55" i="25"/>
  <c r="D109" i="25" s="1"/>
  <c r="D52" i="25"/>
  <c r="D106" i="25" s="1"/>
  <c r="D49" i="25"/>
  <c r="D103" i="25" s="1"/>
  <c r="D46" i="25"/>
  <c r="D100" i="25" s="1"/>
  <c r="D43" i="25"/>
  <c r="D97" i="25" s="1"/>
  <c r="D40" i="25"/>
  <c r="D94" i="25" s="1"/>
  <c r="D37" i="25"/>
  <c r="D91" i="25" s="1"/>
  <c r="D34" i="25"/>
  <c r="D88" i="25" s="1"/>
  <c r="D31" i="25"/>
  <c r="D85" i="25" s="1"/>
  <c r="D28" i="25"/>
  <c r="D82" i="25" s="1"/>
  <c r="D25" i="25"/>
  <c r="D79" i="25" s="1"/>
  <c r="K66" i="21"/>
  <c r="K97" i="26"/>
  <c r="K69" i="26"/>
  <c r="K104" i="25"/>
  <c r="K79" i="25"/>
  <c r="D54" i="25"/>
  <c r="D108" i="25" s="1"/>
  <c r="D42" i="25"/>
  <c r="D96" i="25" s="1"/>
  <c r="D30" i="25"/>
  <c r="D84" i="25" s="1"/>
  <c r="K110" i="26"/>
  <c r="K105" i="26"/>
  <c r="K100" i="26"/>
  <c r="K67" i="26"/>
  <c r="D56" i="26"/>
  <c r="D110" i="26" s="1"/>
  <c r="D53" i="26"/>
  <c r="D107" i="26" s="1"/>
  <c r="D50" i="26"/>
  <c r="D104" i="26" s="1"/>
  <c r="D47" i="26"/>
  <c r="D101" i="26" s="1"/>
  <c r="D44" i="26"/>
  <c r="D98" i="26" s="1"/>
  <c r="D41" i="26"/>
  <c r="D95" i="26" s="1"/>
  <c r="D38" i="26"/>
  <c r="D92" i="26" s="1"/>
  <c r="D35" i="26"/>
  <c r="D89" i="26" s="1"/>
  <c r="D32" i="26"/>
  <c r="D86" i="26" s="1"/>
  <c r="D29" i="26"/>
  <c r="D83" i="26" s="1"/>
  <c r="D26" i="26"/>
  <c r="D80" i="26" s="1"/>
  <c r="D23" i="26"/>
  <c r="D77" i="26" s="1"/>
  <c r="D20" i="26"/>
  <c r="D74" i="26" s="1"/>
  <c r="D17" i="26"/>
  <c r="D71" i="26" s="1"/>
  <c r="D14" i="26"/>
  <c r="D68" i="26" s="1"/>
  <c r="K107" i="25"/>
  <c r="K100" i="25"/>
  <c r="K91" i="25"/>
  <c r="K84" i="25"/>
  <c r="K92" i="26"/>
  <c r="K74" i="26"/>
  <c r="K88" i="25"/>
  <c r="D51" i="25"/>
  <c r="D105" i="25" s="1"/>
  <c r="D39" i="25"/>
  <c r="D93" i="25" s="1"/>
  <c r="D27" i="25"/>
  <c r="D81" i="25" s="1"/>
  <c r="K87" i="26"/>
  <c r="K82" i="26"/>
  <c r="K77" i="26"/>
  <c r="K72" i="26"/>
  <c r="K109" i="25"/>
  <c r="K93" i="25"/>
  <c r="K77" i="25"/>
  <c r="K107" i="26"/>
  <c r="K95" i="25"/>
  <c r="D36" i="25"/>
  <c r="D90" i="25" s="1"/>
  <c r="K96" i="26"/>
  <c r="D47" i="25"/>
  <c r="D101" i="25" s="1"/>
  <c r="D29" i="25"/>
  <c r="D83" i="25" s="1"/>
  <c r="D41" i="25"/>
  <c r="D95" i="25" s="1"/>
  <c r="D26" i="25"/>
  <c r="D80" i="25" s="1"/>
  <c r="K81" i="26"/>
  <c r="K66" i="26"/>
  <c r="D40" i="26"/>
  <c r="D94" i="26" s="1"/>
  <c r="D22" i="26"/>
  <c r="D76" i="26" s="1"/>
  <c r="K106" i="25"/>
  <c r="K92" i="25"/>
  <c r="K106" i="26"/>
  <c r="D35" i="25"/>
  <c r="D89" i="25" s="1"/>
  <c r="K97" i="25"/>
  <c r="D34" i="26"/>
  <c r="D88" i="26" s="1"/>
  <c r="K83" i="25"/>
  <c r="K99" i="26"/>
  <c r="K99" i="25"/>
  <c r="D50" i="25"/>
  <c r="D104" i="25" s="1"/>
  <c r="D32" i="25"/>
  <c r="D86" i="25" s="1"/>
  <c r="K108" i="25"/>
  <c r="D53" i="25"/>
  <c r="D107" i="25" s="1"/>
  <c r="D23" i="25"/>
  <c r="D77" i="25" s="1"/>
  <c r="D55" i="26"/>
  <c r="D109" i="26" s="1"/>
  <c r="K84" i="26"/>
  <c r="D43" i="26"/>
  <c r="D97" i="26" s="1"/>
  <c r="D25" i="26"/>
  <c r="D79" i="26" s="1"/>
  <c r="K85" i="25"/>
  <c r="K91" i="26"/>
  <c r="K101" i="26"/>
  <c r="K71" i="26"/>
  <c r="K90" i="25"/>
  <c r="D37" i="26"/>
  <c r="D91" i="26" s="1"/>
  <c r="K76" i="26"/>
  <c r="D46" i="26"/>
  <c r="D100" i="26" s="1"/>
  <c r="D28" i="26"/>
  <c r="D82" i="26" s="1"/>
  <c r="K81" i="25"/>
  <c r="D13" i="26"/>
  <c r="D67" i="26" s="1"/>
  <c r="K86" i="26"/>
  <c r="D44" i="25"/>
  <c r="D98" i="25" s="1"/>
  <c r="D19" i="26"/>
  <c r="D73" i="26" s="1"/>
  <c r="K109" i="26"/>
  <c r="K94" i="26"/>
  <c r="K101" i="25"/>
  <c r="D56" i="25"/>
  <c r="D110" i="25" s="1"/>
  <c r="D38" i="25"/>
  <c r="D92" i="25" s="1"/>
  <c r="D12" i="21"/>
  <c r="D66" i="21" s="1"/>
  <c r="D49" i="26"/>
  <c r="D103" i="26" s="1"/>
  <c r="D31" i="26"/>
  <c r="D85" i="26" s="1"/>
  <c r="D52" i="26"/>
  <c r="D106" i="26" s="1"/>
  <c r="D16" i="26"/>
  <c r="D70" i="26" s="1"/>
  <c r="K89" i="26"/>
  <c r="K104" i="26"/>
  <c r="D174" i="5"/>
  <c r="E174" i="5"/>
  <c r="A175" i="5"/>
  <c r="A164" i="6"/>
  <c r="C164" i="6" s="1"/>
  <c r="O110" i="17" l="1"/>
  <c r="I98" i="27"/>
  <c r="O71" i="17"/>
  <c r="I59" i="27"/>
  <c r="O75" i="17"/>
  <c r="I63" i="27"/>
  <c r="O98" i="17"/>
  <c r="I86" i="27"/>
  <c r="O68" i="18"/>
  <c r="I106" i="27"/>
  <c r="O69" i="11"/>
  <c r="I7" i="27"/>
  <c r="O85" i="18"/>
  <c r="I123" i="27"/>
  <c r="O86" i="17"/>
  <c r="I74" i="27"/>
  <c r="O109" i="17"/>
  <c r="I97" i="27"/>
  <c r="O66" i="26"/>
  <c r="I354" i="27"/>
  <c r="J354" i="27" s="1"/>
  <c r="K354" i="27" s="1"/>
  <c r="O102" i="17"/>
  <c r="I90" i="27"/>
  <c r="O96" i="18"/>
  <c r="I134" i="27"/>
  <c r="O108" i="11"/>
  <c r="I46" i="27"/>
  <c r="O80" i="17"/>
  <c r="I68" i="27"/>
  <c r="O78" i="25"/>
  <c r="I316" i="27"/>
  <c r="O105" i="17"/>
  <c r="I93" i="27"/>
  <c r="O70" i="17"/>
  <c r="I58" i="27"/>
  <c r="O78" i="17"/>
  <c r="I66" i="27"/>
  <c r="O86" i="25"/>
  <c r="I324" i="27"/>
  <c r="O72" i="18"/>
  <c r="I110" i="27"/>
  <c r="O108" i="25"/>
  <c r="I346" i="27"/>
  <c r="O107" i="11"/>
  <c r="I45" i="27"/>
  <c r="O95" i="18"/>
  <c r="I133" i="27"/>
  <c r="O100" i="26"/>
  <c r="I388" i="27"/>
  <c r="O97" i="18"/>
  <c r="I135" i="27"/>
  <c r="O73" i="17"/>
  <c r="I61" i="27"/>
  <c r="O93" i="25"/>
  <c r="I331" i="27"/>
  <c r="O102" i="18"/>
  <c r="I140" i="27"/>
  <c r="O102" i="26"/>
  <c r="I390" i="27"/>
  <c r="O67" i="18"/>
  <c r="I105" i="27"/>
  <c r="O66" i="18"/>
  <c r="I104" i="27"/>
  <c r="J104" i="27" s="1"/>
  <c r="K104" i="27" s="1"/>
  <c r="O92" i="11"/>
  <c r="I30" i="27"/>
  <c r="O101" i="25"/>
  <c r="I339" i="27"/>
  <c r="O83" i="26"/>
  <c r="I371" i="27"/>
  <c r="O96" i="25"/>
  <c r="I334" i="27"/>
  <c r="O92" i="17"/>
  <c r="I80" i="27"/>
  <c r="O83" i="18"/>
  <c r="I121" i="27"/>
  <c r="O95" i="11"/>
  <c r="I33" i="27"/>
  <c r="O106" i="18"/>
  <c r="I144" i="27"/>
  <c r="O99" i="11"/>
  <c r="I37" i="27"/>
  <c r="O81" i="25"/>
  <c r="I319" i="27"/>
  <c r="O87" i="17"/>
  <c r="I75" i="27"/>
  <c r="O93" i="26"/>
  <c r="I381" i="27"/>
  <c r="O88" i="26"/>
  <c r="I376" i="27"/>
  <c r="O81" i="26"/>
  <c r="I369" i="27"/>
  <c r="O92" i="18"/>
  <c r="I130" i="27"/>
  <c r="O97" i="11"/>
  <c r="I35" i="27"/>
  <c r="O74" i="17"/>
  <c r="I62" i="27"/>
  <c r="O80" i="26"/>
  <c r="I368" i="27"/>
  <c r="O90" i="17"/>
  <c r="I78" i="27"/>
  <c r="O107" i="18"/>
  <c r="I145" i="27"/>
  <c r="O85" i="17"/>
  <c r="I73" i="27"/>
  <c r="O71" i="26"/>
  <c r="I359" i="27"/>
  <c r="O80" i="18"/>
  <c r="I118" i="27"/>
  <c r="O90" i="18"/>
  <c r="I128" i="27"/>
  <c r="O104" i="18"/>
  <c r="I142" i="27"/>
  <c r="O110" i="26"/>
  <c r="I398" i="27"/>
  <c r="O99" i="18"/>
  <c r="I137" i="27"/>
  <c r="O80" i="11"/>
  <c r="I18" i="27"/>
  <c r="O108" i="26"/>
  <c r="I396" i="27"/>
  <c r="O87" i="26"/>
  <c r="I375" i="27"/>
  <c r="O102" i="11"/>
  <c r="I40" i="27"/>
  <c r="O84" i="25"/>
  <c r="I322" i="27"/>
  <c r="O77" i="18"/>
  <c r="I115" i="27"/>
  <c r="O71" i="18"/>
  <c r="I109" i="27"/>
  <c r="O107" i="25"/>
  <c r="I345" i="27"/>
  <c r="O68" i="17"/>
  <c r="I56" i="27"/>
  <c r="O94" i="18"/>
  <c r="I132" i="27"/>
  <c r="O102" i="25"/>
  <c r="I340" i="27"/>
  <c r="O87" i="11"/>
  <c r="I25" i="27"/>
  <c r="O109" i="11"/>
  <c r="I47" i="27"/>
  <c r="O110" i="18"/>
  <c r="I148" i="27"/>
  <c r="O70" i="26"/>
  <c r="I358" i="27"/>
  <c r="O67" i="17"/>
  <c r="I55" i="27"/>
  <c r="O90" i="26"/>
  <c r="I378" i="27"/>
  <c r="O81" i="11"/>
  <c r="I19" i="27"/>
  <c r="O88" i="17"/>
  <c r="I76" i="27"/>
  <c r="O105" i="18"/>
  <c r="I143" i="27"/>
  <c r="O103" i="18"/>
  <c r="I141" i="27"/>
  <c r="O76" i="26"/>
  <c r="I364" i="27"/>
  <c r="O86" i="18"/>
  <c r="I124" i="27"/>
  <c r="O108" i="18"/>
  <c r="I146" i="27"/>
  <c r="O69" i="26"/>
  <c r="I357" i="27"/>
  <c r="O85" i="25"/>
  <c r="I323" i="27"/>
  <c r="O89" i="26"/>
  <c r="I377" i="27"/>
  <c r="O110" i="25"/>
  <c r="I348" i="27"/>
  <c r="O97" i="17"/>
  <c r="I85" i="27"/>
  <c r="O106" i="11"/>
  <c r="I44" i="27"/>
  <c r="O95" i="17"/>
  <c r="I83" i="27"/>
  <c r="O84" i="18"/>
  <c r="I122" i="27"/>
  <c r="O69" i="18"/>
  <c r="I107" i="27"/>
  <c r="O85" i="11"/>
  <c r="I23" i="27"/>
  <c r="O86" i="11"/>
  <c r="I24" i="27"/>
  <c r="O91" i="18"/>
  <c r="I129" i="27"/>
  <c r="O106" i="17"/>
  <c r="I94" i="27"/>
  <c r="O103" i="25"/>
  <c r="I341" i="27"/>
  <c r="O89" i="25"/>
  <c r="I327" i="27"/>
  <c r="O98" i="26"/>
  <c r="I386" i="27"/>
  <c r="O87" i="18"/>
  <c r="I125" i="27"/>
  <c r="O68" i="11"/>
  <c r="I6" i="27"/>
  <c r="O96" i="26"/>
  <c r="I384" i="27"/>
  <c r="O70" i="11"/>
  <c r="I8" i="27"/>
  <c r="O90" i="11"/>
  <c r="I28" i="27"/>
  <c r="O95" i="26"/>
  <c r="I383" i="27"/>
  <c r="O95" i="25"/>
  <c r="I333" i="27"/>
  <c r="O82" i="18"/>
  <c r="I120" i="27"/>
  <c r="O66" i="11"/>
  <c r="I4" i="27"/>
  <c r="J4" i="27" s="1"/>
  <c r="O79" i="11"/>
  <c r="I17" i="27"/>
  <c r="O75" i="11"/>
  <c r="I13" i="27"/>
  <c r="O103" i="26"/>
  <c r="I391" i="27"/>
  <c r="O110" i="11"/>
  <c r="I48" i="27"/>
  <c r="O76" i="18"/>
  <c r="I114" i="27"/>
  <c r="O98" i="18"/>
  <c r="I136" i="27"/>
  <c r="O66" i="21"/>
  <c r="I154" i="27"/>
  <c r="J154" i="27" s="1"/>
  <c r="K154" i="27" s="1"/>
  <c r="O76" i="11"/>
  <c r="I14" i="27"/>
  <c r="O92" i="25"/>
  <c r="I330" i="27"/>
  <c r="O97" i="26"/>
  <c r="I385" i="27"/>
  <c r="O93" i="18"/>
  <c r="I131" i="27"/>
  <c r="O74" i="18"/>
  <c r="I112" i="27"/>
  <c r="O67" i="11"/>
  <c r="I5" i="27"/>
  <c r="O104" i="25"/>
  <c r="I342" i="27"/>
  <c r="O73" i="26"/>
  <c r="I361" i="27"/>
  <c r="O100" i="17"/>
  <c r="I88" i="27"/>
  <c r="O68" i="26"/>
  <c r="I356" i="27"/>
  <c r="O91" i="25"/>
  <c r="I329" i="27"/>
  <c r="O100" i="18"/>
  <c r="I138" i="27"/>
  <c r="O79" i="25"/>
  <c r="I317" i="27"/>
  <c r="O82" i="17"/>
  <c r="I70" i="27"/>
  <c r="O101" i="26"/>
  <c r="I389" i="27"/>
  <c r="O96" i="11"/>
  <c r="I34" i="27"/>
  <c r="O98" i="11"/>
  <c r="I36" i="27"/>
  <c r="O77" i="26"/>
  <c r="I365" i="27"/>
  <c r="O75" i="26"/>
  <c r="I363" i="27"/>
  <c r="O86" i="26"/>
  <c r="I374" i="27"/>
  <c r="O75" i="18"/>
  <c r="I113" i="27"/>
  <c r="O101" i="17"/>
  <c r="I89" i="27"/>
  <c r="O84" i="26"/>
  <c r="I372" i="27"/>
  <c r="O88" i="18"/>
  <c r="I126" i="27"/>
  <c r="O78" i="11"/>
  <c r="I16" i="27"/>
  <c r="O106" i="26"/>
  <c r="I394" i="27"/>
  <c r="O101" i="11"/>
  <c r="I39" i="27"/>
  <c r="O83" i="25"/>
  <c r="I321" i="27"/>
  <c r="O97" i="25"/>
  <c r="I335" i="27"/>
  <c r="O70" i="18"/>
  <c r="I108" i="27"/>
  <c r="O106" i="25"/>
  <c r="I344" i="27"/>
  <c r="O83" i="11"/>
  <c r="I21" i="27"/>
  <c r="O76" i="17"/>
  <c r="I64" i="27"/>
  <c r="O108" i="17"/>
  <c r="I96" i="27"/>
  <c r="O91" i="26"/>
  <c r="I379" i="27"/>
  <c r="O78" i="18"/>
  <c r="I116" i="27"/>
  <c r="O88" i="11"/>
  <c r="I26" i="27"/>
  <c r="O109" i="26"/>
  <c r="I397" i="27"/>
  <c r="O104" i="26"/>
  <c r="I392" i="27"/>
  <c r="O83" i="17"/>
  <c r="I71" i="27"/>
  <c r="O92" i="26"/>
  <c r="I380" i="27"/>
  <c r="O104" i="17"/>
  <c r="I92" i="27"/>
  <c r="O101" i="18"/>
  <c r="I139" i="27"/>
  <c r="O91" i="17"/>
  <c r="I79" i="27"/>
  <c r="O93" i="17"/>
  <c r="I81" i="27"/>
  <c r="O88" i="25"/>
  <c r="I326" i="27"/>
  <c r="O69" i="17"/>
  <c r="I57" i="27"/>
  <c r="O79" i="18"/>
  <c r="I117" i="27"/>
  <c r="O84" i="11"/>
  <c r="I22" i="27"/>
  <c r="O82" i="11"/>
  <c r="I20" i="27"/>
  <c r="O74" i="26"/>
  <c r="I362" i="27"/>
  <c r="O99" i="25"/>
  <c r="I337" i="27"/>
  <c r="O89" i="17"/>
  <c r="I77" i="27"/>
  <c r="O72" i="26"/>
  <c r="I360" i="27"/>
  <c r="O66" i="17"/>
  <c r="I54" i="27"/>
  <c r="J54" i="27" s="1"/>
  <c r="K54" i="27" s="1"/>
  <c r="O94" i="26"/>
  <c r="I382" i="27"/>
  <c r="O99" i="26"/>
  <c r="I387" i="27"/>
  <c r="O89" i="11"/>
  <c r="I27" i="27"/>
  <c r="O77" i="25"/>
  <c r="I315" i="27"/>
  <c r="O107" i="26"/>
  <c r="I395" i="27"/>
  <c r="O94" i="25"/>
  <c r="I332" i="27"/>
  <c r="O89" i="18"/>
  <c r="I127" i="27"/>
  <c r="O73" i="18"/>
  <c r="I111" i="27"/>
  <c r="O96" i="17"/>
  <c r="I84" i="27"/>
  <c r="O79" i="26"/>
  <c r="I367" i="27"/>
  <c r="O74" i="11"/>
  <c r="I12" i="27"/>
  <c r="O93" i="11"/>
  <c r="I31" i="27"/>
  <c r="O91" i="11"/>
  <c r="I29" i="27"/>
  <c r="O72" i="17"/>
  <c r="I60" i="27"/>
  <c r="O90" i="25"/>
  <c r="I328" i="27"/>
  <c r="O109" i="25"/>
  <c r="I347" i="27"/>
  <c r="O71" i="11"/>
  <c r="I9" i="27"/>
  <c r="O80" i="25"/>
  <c r="I318" i="27"/>
  <c r="O85" i="26"/>
  <c r="I373" i="27"/>
  <c r="O103" i="11"/>
  <c r="I41" i="27"/>
  <c r="O81" i="18"/>
  <c r="I119" i="27"/>
  <c r="O73" i="11"/>
  <c r="I11" i="27"/>
  <c r="O98" i="25"/>
  <c r="I336" i="27"/>
  <c r="O109" i="18"/>
  <c r="I147" i="27"/>
  <c r="O105" i="25"/>
  <c r="I343" i="27"/>
  <c r="O78" i="26"/>
  <c r="I366" i="27"/>
  <c r="O104" i="11"/>
  <c r="I42" i="27"/>
  <c r="O72" i="11"/>
  <c r="I10" i="27"/>
  <c r="O107" i="17"/>
  <c r="I95" i="27"/>
  <c r="O81" i="17"/>
  <c r="I69" i="27"/>
  <c r="O94" i="17"/>
  <c r="I82" i="27"/>
  <c r="O79" i="17"/>
  <c r="I67" i="27"/>
  <c r="O105" i="11"/>
  <c r="I43" i="27"/>
  <c r="O87" i="25"/>
  <c r="I325" i="27"/>
  <c r="O77" i="17"/>
  <c r="I65" i="27"/>
  <c r="O100" i="25"/>
  <c r="I338" i="27"/>
  <c r="O99" i="17"/>
  <c r="I87" i="27"/>
  <c r="O82" i="26"/>
  <c r="I370" i="27"/>
  <c r="O103" i="17"/>
  <c r="I91" i="27"/>
  <c r="O77" i="11"/>
  <c r="I15" i="27"/>
  <c r="O105" i="26"/>
  <c r="I393" i="27"/>
  <c r="O94" i="11"/>
  <c r="I32" i="27"/>
  <c r="O100" i="11"/>
  <c r="I38" i="27"/>
  <c r="O82" i="25"/>
  <c r="I320" i="27"/>
  <c r="O84" i="17"/>
  <c r="I72" i="27"/>
  <c r="O67" i="26"/>
  <c r="I355" i="27"/>
  <c r="D175" i="5"/>
  <c r="A176" i="5"/>
  <c r="E175" i="5"/>
  <c r="A165" i="6"/>
  <c r="C165" i="6" s="1"/>
  <c r="J338" i="27" l="1"/>
  <c r="K338" i="27" s="1"/>
  <c r="J12" i="27"/>
  <c r="K12" i="27" s="1"/>
  <c r="J360" i="27"/>
  <c r="K360" i="27" s="1"/>
  <c r="J108" i="27"/>
  <c r="K108" i="27" s="1"/>
  <c r="J41" i="27"/>
  <c r="K41" i="27" s="1"/>
  <c r="J347" i="27"/>
  <c r="K347" i="27" s="1"/>
  <c r="J70" i="27"/>
  <c r="K70" i="27" s="1"/>
  <c r="J356" i="27"/>
  <c r="K356" i="27" s="1"/>
  <c r="J5" i="27"/>
  <c r="J330" i="27"/>
  <c r="K330" i="27" s="1"/>
  <c r="J114" i="27"/>
  <c r="K114" i="27" s="1"/>
  <c r="J17" i="27"/>
  <c r="K17" i="27" s="1"/>
  <c r="J383" i="27"/>
  <c r="K383" i="27" s="1"/>
  <c r="J6" i="27"/>
  <c r="K6" i="27" s="1"/>
  <c r="J341" i="27"/>
  <c r="K341" i="27" s="1"/>
  <c r="J23" i="27"/>
  <c r="K23" i="27" s="1"/>
  <c r="J44" i="27"/>
  <c r="K44" i="27" s="1"/>
  <c r="J323" i="27"/>
  <c r="K323" i="27" s="1"/>
  <c r="J364" i="27"/>
  <c r="K364" i="27" s="1"/>
  <c r="J19" i="27"/>
  <c r="K19" i="27" s="1"/>
  <c r="J148" i="27"/>
  <c r="K148" i="27" s="1"/>
  <c r="J132" i="27"/>
  <c r="K132" i="27" s="1"/>
  <c r="J115" i="27"/>
  <c r="K115" i="27" s="1"/>
  <c r="J396" i="27"/>
  <c r="K396" i="27" s="1"/>
  <c r="J142" i="27"/>
  <c r="K142" i="27" s="1"/>
  <c r="J73" i="27"/>
  <c r="K73" i="27" s="1"/>
  <c r="J62" i="27"/>
  <c r="K62" i="27" s="1"/>
  <c r="J376" i="27"/>
  <c r="K376" i="27" s="1"/>
  <c r="J37" i="27"/>
  <c r="K37" i="27" s="1"/>
  <c r="J80" i="27"/>
  <c r="K80" i="27" s="1"/>
  <c r="J30" i="27"/>
  <c r="K30" i="27" s="1"/>
  <c r="J140" i="27"/>
  <c r="K140" i="27" s="1"/>
  <c r="J388" i="27"/>
  <c r="K388" i="27" s="1"/>
  <c r="J110" i="27"/>
  <c r="K110" i="27" s="1"/>
  <c r="J93" i="27"/>
  <c r="K93" i="27" s="1"/>
  <c r="J134" i="27"/>
  <c r="K134" i="27" s="1"/>
  <c r="J74" i="27"/>
  <c r="K74" i="27" s="1"/>
  <c r="J86" i="27"/>
  <c r="K86" i="27" s="1"/>
  <c r="J10" i="27"/>
  <c r="K10" i="27" s="1"/>
  <c r="J27" i="27"/>
  <c r="K27" i="27" s="1"/>
  <c r="J96" i="27"/>
  <c r="K96" i="27" s="1"/>
  <c r="J373" i="27"/>
  <c r="K373" i="27" s="1"/>
  <c r="K4" i="27"/>
  <c r="J107" i="27"/>
  <c r="K107" i="27" s="1"/>
  <c r="J47" i="27"/>
  <c r="K47" i="27" s="1"/>
  <c r="J145" i="27"/>
  <c r="K145" i="27" s="1"/>
  <c r="J334" i="27"/>
  <c r="K334" i="27" s="1"/>
  <c r="J316" i="27"/>
  <c r="K316" i="27" s="1"/>
  <c r="J91" i="27"/>
  <c r="K91" i="27" s="1"/>
  <c r="J336" i="27"/>
  <c r="K336" i="27" s="1"/>
  <c r="J77" i="27"/>
  <c r="K77" i="27" s="1"/>
  <c r="J16" i="27"/>
  <c r="K16" i="27" s="1"/>
  <c r="J361" i="27"/>
  <c r="K361" i="27" s="1"/>
  <c r="J131" i="27"/>
  <c r="K131" i="27" s="1"/>
  <c r="J391" i="27"/>
  <c r="K391" i="27" s="1"/>
  <c r="J120" i="27"/>
  <c r="K120" i="27" s="1"/>
  <c r="J8" i="27"/>
  <c r="K8" i="27" s="1"/>
  <c r="J386" i="27"/>
  <c r="K386" i="27" s="1"/>
  <c r="J129" i="27"/>
  <c r="K129" i="27" s="1"/>
  <c r="J122" i="27"/>
  <c r="K122" i="27" s="1"/>
  <c r="J348" i="27"/>
  <c r="K348" i="27" s="1"/>
  <c r="J146" i="27"/>
  <c r="K146" i="27" s="1"/>
  <c r="J143" i="27"/>
  <c r="K143" i="27" s="1"/>
  <c r="J55" i="27"/>
  <c r="K55" i="27" s="1"/>
  <c r="J25" i="27"/>
  <c r="K25" i="27" s="1"/>
  <c r="J345" i="27"/>
  <c r="K345" i="27" s="1"/>
  <c r="J40" i="27"/>
  <c r="K40" i="27" s="1"/>
  <c r="J137" i="27"/>
  <c r="K137" i="27" s="1"/>
  <c r="J118" i="27"/>
  <c r="K118" i="27" s="1"/>
  <c r="J78" i="27"/>
  <c r="K78" i="27" s="1"/>
  <c r="J130" i="27"/>
  <c r="K130" i="27" s="1"/>
  <c r="J75" i="27"/>
  <c r="K75" i="27" s="1"/>
  <c r="J33" i="27"/>
  <c r="K33" i="27" s="1"/>
  <c r="J371" i="27"/>
  <c r="K371" i="27" s="1"/>
  <c r="J105" i="27"/>
  <c r="K105" i="27" s="1"/>
  <c r="J61" i="27"/>
  <c r="K61" i="27" s="1"/>
  <c r="J45" i="27"/>
  <c r="K45" i="27" s="1"/>
  <c r="J66" i="27"/>
  <c r="K66" i="27" s="1"/>
  <c r="J68" i="27"/>
  <c r="K68" i="27" s="1"/>
  <c r="J7" i="27"/>
  <c r="K7" i="27" s="1"/>
  <c r="J59" i="27"/>
  <c r="K59" i="27" s="1"/>
  <c r="J67" i="27"/>
  <c r="K67" i="27" s="1"/>
  <c r="J326" i="27"/>
  <c r="K326" i="27" s="1"/>
  <c r="J89" i="27"/>
  <c r="K89" i="27" s="1"/>
  <c r="J112" i="27"/>
  <c r="K112" i="27" s="1"/>
  <c r="J125" i="27"/>
  <c r="K125" i="27" s="1"/>
  <c r="J141" i="27"/>
  <c r="K141" i="27" s="1"/>
  <c r="J18" i="27"/>
  <c r="K18" i="27" s="1"/>
  <c r="J381" i="27"/>
  <c r="K381" i="27" s="1"/>
  <c r="J331" i="27"/>
  <c r="K331" i="27" s="1"/>
  <c r="J90" i="27"/>
  <c r="K90" i="27" s="1"/>
  <c r="J82" i="27"/>
  <c r="K82" i="27" s="1"/>
  <c r="J387" i="27"/>
  <c r="K387" i="27" s="1"/>
  <c r="J26" i="27"/>
  <c r="K26" i="27" s="1"/>
  <c r="J113" i="27"/>
  <c r="K113" i="27" s="1"/>
  <c r="J11" i="27"/>
  <c r="K11" i="27" s="1"/>
  <c r="J138" i="27"/>
  <c r="K138" i="27" s="1"/>
  <c r="J355" i="27"/>
  <c r="K355" i="27" s="1"/>
  <c r="J32" i="27"/>
  <c r="K32" i="27" s="1"/>
  <c r="J370" i="27"/>
  <c r="K370" i="27" s="1"/>
  <c r="J325" i="27"/>
  <c r="K325" i="27" s="1"/>
  <c r="J69" i="27"/>
  <c r="K69" i="27" s="1"/>
  <c r="J366" i="27"/>
  <c r="K366" i="27" s="1"/>
  <c r="J29" i="27"/>
  <c r="K29" i="27" s="1"/>
  <c r="J84" i="27"/>
  <c r="K84" i="27" s="1"/>
  <c r="J395" i="27"/>
  <c r="K395" i="27" s="1"/>
  <c r="J382" i="27"/>
  <c r="K382" i="27" s="1"/>
  <c r="J337" i="27"/>
  <c r="K337" i="27" s="1"/>
  <c r="J117" i="27"/>
  <c r="K117" i="27" s="1"/>
  <c r="J79" i="27"/>
  <c r="K79" i="27" s="1"/>
  <c r="J71" i="27"/>
  <c r="K71" i="27" s="1"/>
  <c r="J116" i="27"/>
  <c r="K116" i="27" s="1"/>
  <c r="J21" i="27"/>
  <c r="K21" i="27" s="1"/>
  <c r="J321" i="27"/>
  <c r="K321" i="27" s="1"/>
  <c r="J126" i="27"/>
  <c r="K126" i="27" s="1"/>
  <c r="J374" i="27"/>
  <c r="K374" i="27" s="1"/>
  <c r="J34" i="27"/>
  <c r="K34" i="27" s="1"/>
  <c r="J15" i="27"/>
  <c r="K15" i="27" s="1"/>
  <c r="J127" i="27"/>
  <c r="K127" i="27" s="1"/>
  <c r="J397" i="27"/>
  <c r="K397" i="27" s="1"/>
  <c r="J28" i="27"/>
  <c r="K28" i="27" s="1"/>
  <c r="J357" i="27"/>
  <c r="K357" i="27" s="1"/>
  <c r="J56" i="27"/>
  <c r="K56" i="27" s="1"/>
  <c r="J35" i="27"/>
  <c r="K35" i="27" s="1"/>
  <c r="J133" i="27"/>
  <c r="K133" i="27" s="1"/>
  <c r="J324" i="27"/>
  <c r="K324" i="27" s="1"/>
  <c r="J38" i="27"/>
  <c r="K38" i="27" s="1"/>
  <c r="J367" i="27"/>
  <c r="K367" i="27" s="1"/>
  <c r="J380" i="27"/>
  <c r="K380" i="27" s="1"/>
  <c r="J36" i="27"/>
  <c r="K36" i="27" s="1"/>
  <c r="J318" i="27"/>
  <c r="K318" i="27" s="1"/>
  <c r="J147" i="27"/>
  <c r="K147" i="27" s="1"/>
  <c r="J20" i="27"/>
  <c r="K20" i="27" s="1"/>
  <c r="J394" i="27"/>
  <c r="K394" i="27" s="1"/>
  <c r="J328" i="27"/>
  <c r="K328" i="27" s="1"/>
  <c r="J317" i="27"/>
  <c r="K317" i="27" s="1"/>
  <c r="J48" i="27"/>
  <c r="K48" i="27" s="1"/>
  <c r="J85" i="27"/>
  <c r="K85" i="27" s="1"/>
  <c r="J322" i="27"/>
  <c r="K322" i="27" s="1"/>
  <c r="J144" i="27"/>
  <c r="K144" i="27" s="1"/>
  <c r="J63" i="27"/>
  <c r="K63" i="27" s="1"/>
  <c r="J42" i="27"/>
  <c r="K42" i="27" s="1"/>
  <c r="J81" i="27"/>
  <c r="K81" i="27" s="1"/>
  <c r="J335" i="27"/>
  <c r="K335" i="27" s="1"/>
  <c r="J60" i="27"/>
  <c r="K60" i="27" s="1"/>
  <c r="J329" i="27"/>
  <c r="K329" i="27" s="1"/>
  <c r="J342" i="27"/>
  <c r="K342" i="27" s="1"/>
  <c r="J385" i="27"/>
  <c r="K385" i="27" s="1"/>
  <c r="J136" i="27"/>
  <c r="K136" i="27" s="1"/>
  <c r="J13" i="27"/>
  <c r="K13" i="27" s="1"/>
  <c r="J333" i="27"/>
  <c r="K333" i="27" s="1"/>
  <c r="J384" i="27"/>
  <c r="K384" i="27" s="1"/>
  <c r="J327" i="27"/>
  <c r="K327" i="27" s="1"/>
  <c r="J24" i="27"/>
  <c r="K24" i="27" s="1"/>
  <c r="J83" i="27"/>
  <c r="K83" i="27" s="1"/>
  <c r="J377" i="27"/>
  <c r="K377" i="27" s="1"/>
  <c r="J124" i="27"/>
  <c r="K124" i="27" s="1"/>
  <c r="J76" i="27"/>
  <c r="K76" i="27" s="1"/>
  <c r="J358" i="27"/>
  <c r="K358" i="27" s="1"/>
  <c r="J340" i="27"/>
  <c r="K340" i="27" s="1"/>
  <c r="J109" i="27"/>
  <c r="K109" i="27" s="1"/>
  <c r="J375" i="27"/>
  <c r="K375" i="27" s="1"/>
  <c r="J398" i="27"/>
  <c r="K398" i="27" s="1"/>
  <c r="J359" i="27"/>
  <c r="K359" i="27" s="1"/>
  <c r="J368" i="27"/>
  <c r="K368" i="27" s="1"/>
  <c r="J369" i="27"/>
  <c r="K369" i="27" s="1"/>
  <c r="J319" i="27"/>
  <c r="K319" i="27" s="1"/>
  <c r="J121" i="27"/>
  <c r="K121" i="27" s="1"/>
  <c r="J339" i="27"/>
  <c r="K339" i="27" s="1"/>
  <c r="J390" i="27"/>
  <c r="K390" i="27" s="1"/>
  <c r="J135" i="27"/>
  <c r="K135" i="27" s="1"/>
  <c r="J346" i="27"/>
  <c r="K346" i="27" s="1"/>
  <c r="J58" i="27"/>
  <c r="K58" i="27" s="1"/>
  <c r="J46" i="27"/>
  <c r="K46" i="27" s="1"/>
  <c r="J97" i="27"/>
  <c r="K97" i="27" s="1"/>
  <c r="J106" i="27"/>
  <c r="K106" i="27" s="1"/>
  <c r="J98" i="27"/>
  <c r="K98" i="27" s="1"/>
  <c r="J320" i="27"/>
  <c r="K320" i="27" s="1"/>
  <c r="J92" i="27"/>
  <c r="K92" i="27" s="1"/>
  <c r="J365" i="27"/>
  <c r="K365" i="27" s="1"/>
  <c r="J88" i="27"/>
  <c r="K88" i="27" s="1"/>
  <c r="J14" i="27"/>
  <c r="K14" i="27" s="1"/>
  <c r="J94" i="27"/>
  <c r="K94" i="27" s="1"/>
  <c r="J378" i="27"/>
  <c r="K378" i="27" s="1"/>
  <c r="J128" i="27"/>
  <c r="K128" i="27" s="1"/>
  <c r="J123" i="27"/>
  <c r="K123" i="27" s="1"/>
  <c r="J65" i="27"/>
  <c r="K65" i="27" s="1"/>
  <c r="J332" i="27"/>
  <c r="K332" i="27" s="1"/>
  <c r="J22" i="27"/>
  <c r="K22" i="27" s="1"/>
  <c r="J64" i="27"/>
  <c r="K64" i="27" s="1"/>
  <c r="J119" i="27"/>
  <c r="K119" i="27" s="1"/>
  <c r="J9" i="27"/>
  <c r="K9" i="27" s="1"/>
  <c r="J72" i="27"/>
  <c r="K72" i="27" s="1"/>
  <c r="J393" i="27"/>
  <c r="K393" i="27" s="1"/>
  <c r="J87" i="27"/>
  <c r="K87" i="27" s="1"/>
  <c r="J43" i="27"/>
  <c r="K43" i="27" s="1"/>
  <c r="J95" i="27"/>
  <c r="K95" i="27" s="1"/>
  <c r="J343" i="27"/>
  <c r="K343" i="27" s="1"/>
  <c r="J31" i="27"/>
  <c r="K31" i="27" s="1"/>
  <c r="J111" i="27"/>
  <c r="K111" i="27" s="1"/>
  <c r="J315" i="27"/>
  <c r="K315" i="27" s="1"/>
  <c r="J362" i="27"/>
  <c r="K362" i="27" s="1"/>
  <c r="J57" i="27"/>
  <c r="K57" i="27" s="1"/>
  <c r="J139" i="27"/>
  <c r="K139" i="27" s="1"/>
  <c r="J392" i="27"/>
  <c r="K392" i="27" s="1"/>
  <c r="J379" i="27"/>
  <c r="K379" i="27" s="1"/>
  <c r="J344" i="27"/>
  <c r="K344" i="27" s="1"/>
  <c r="J39" i="27"/>
  <c r="K39" i="27" s="1"/>
  <c r="J372" i="27"/>
  <c r="K372" i="27" s="1"/>
  <c r="J363" i="27"/>
  <c r="K363" i="27" s="1"/>
  <c r="J389" i="27"/>
  <c r="K389" i="27" s="1"/>
  <c r="D176" i="5"/>
  <c r="E176" i="5"/>
  <c r="A177" i="5"/>
  <c r="A166" i="6"/>
  <c r="C166" i="6" s="1"/>
  <c r="K100" i="27" l="1"/>
  <c r="K150" i="27"/>
  <c r="K400" i="27"/>
  <c r="K5" i="27"/>
  <c r="K50" i="27" s="1"/>
  <c r="A178" i="5"/>
  <c r="D177" i="5"/>
  <c r="E177" i="5"/>
  <c r="A167" i="6"/>
  <c r="C167" i="6" s="1"/>
  <c r="A179" i="5" l="1"/>
  <c r="E178" i="5"/>
  <c r="D178" i="5"/>
  <c r="A168" i="6"/>
  <c r="C168" i="6" s="1"/>
  <c r="D179" i="5" l="1"/>
  <c r="E179" i="5"/>
  <c r="A180" i="5"/>
  <c r="A169" i="6"/>
  <c r="C169" i="6" s="1"/>
  <c r="B41" i="3" l="1"/>
  <c r="B43" i="3"/>
  <c r="B44" i="3"/>
  <c r="E180" i="5"/>
  <c r="A181" i="5"/>
  <c r="D180" i="5"/>
  <c r="A170" i="6"/>
  <c r="C170" i="6" s="1"/>
  <c r="H265" i="3" l="1"/>
  <c r="H266" i="3"/>
  <c r="L19" i="28"/>
  <c r="L21" i="28"/>
  <c r="L22" i="28"/>
  <c r="L397" i="27"/>
  <c r="M397" i="27" s="1"/>
  <c r="A394" i="27"/>
  <c r="O390" i="27"/>
  <c r="U388" i="27"/>
  <c r="L385" i="27"/>
  <c r="M385" i="27" s="1"/>
  <c r="A382" i="27"/>
  <c r="O378" i="27"/>
  <c r="U376" i="27"/>
  <c r="L373" i="27"/>
  <c r="M373" i="27" s="1"/>
  <c r="A370" i="27"/>
  <c r="O366" i="27"/>
  <c r="U364" i="27"/>
  <c r="L361" i="27"/>
  <c r="M361" i="27" s="1"/>
  <c r="A358" i="27"/>
  <c r="O354" i="27"/>
  <c r="U347" i="27"/>
  <c r="L344" i="27"/>
  <c r="M344" i="27" s="1"/>
  <c r="A341" i="27"/>
  <c r="O337" i="27"/>
  <c r="U335" i="27"/>
  <c r="L332" i="27"/>
  <c r="M332" i="27" s="1"/>
  <c r="A329" i="27"/>
  <c r="O325" i="27"/>
  <c r="U323" i="27"/>
  <c r="L320" i="27"/>
  <c r="M320" i="27" s="1"/>
  <c r="A317" i="27"/>
  <c r="O395" i="27"/>
  <c r="U393" i="27"/>
  <c r="L390" i="27"/>
  <c r="M390" i="27" s="1"/>
  <c r="A387" i="27"/>
  <c r="O383" i="27"/>
  <c r="U381" i="27"/>
  <c r="L378" i="27"/>
  <c r="M378" i="27" s="1"/>
  <c r="A375" i="27"/>
  <c r="O371" i="27"/>
  <c r="U369" i="27"/>
  <c r="L366" i="27"/>
  <c r="M366" i="27" s="1"/>
  <c r="A363" i="27"/>
  <c r="O359" i="27"/>
  <c r="U357" i="27"/>
  <c r="L354" i="27"/>
  <c r="M354" i="27" s="1"/>
  <c r="A346" i="27"/>
  <c r="O342" i="27"/>
  <c r="U340" i="27"/>
  <c r="L337" i="27"/>
  <c r="M337" i="27" s="1"/>
  <c r="A334" i="27"/>
  <c r="O330" i="27"/>
  <c r="U328" i="27"/>
  <c r="L325" i="27"/>
  <c r="M325" i="27" s="1"/>
  <c r="A322" i="27"/>
  <c r="O318" i="27"/>
  <c r="U316" i="27"/>
  <c r="U398" i="27"/>
  <c r="L395" i="27"/>
  <c r="M395" i="27" s="1"/>
  <c r="A392" i="27"/>
  <c r="O388" i="27"/>
  <c r="U386" i="27"/>
  <c r="L383" i="27"/>
  <c r="M383" i="27" s="1"/>
  <c r="A380" i="27"/>
  <c r="O376" i="27"/>
  <c r="U374" i="27"/>
  <c r="L371" i="27"/>
  <c r="M371" i="27" s="1"/>
  <c r="A368" i="27"/>
  <c r="O364" i="27"/>
  <c r="U362" i="27"/>
  <c r="L359" i="27"/>
  <c r="M359" i="27" s="1"/>
  <c r="A356" i="27"/>
  <c r="O347" i="27"/>
  <c r="U345" i="27"/>
  <c r="L342" i="27"/>
  <c r="M342" i="27" s="1"/>
  <c r="A339" i="27"/>
  <c r="O335" i="27"/>
  <c r="U333" i="27"/>
  <c r="L330" i="27"/>
  <c r="M330" i="27" s="1"/>
  <c r="A327" i="27"/>
  <c r="O323" i="27"/>
  <c r="U321" i="27"/>
  <c r="L318" i="27"/>
  <c r="M318" i="27" s="1"/>
  <c r="A315" i="27"/>
  <c r="A397" i="27"/>
  <c r="O393" i="27"/>
  <c r="U391" i="27"/>
  <c r="L388" i="27"/>
  <c r="M388" i="27" s="1"/>
  <c r="A385" i="27"/>
  <c r="O381" i="27"/>
  <c r="U379" i="27"/>
  <c r="L376" i="27"/>
  <c r="M376" i="27" s="1"/>
  <c r="A373" i="27"/>
  <c r="O369" i="27"/>
  <c r="U367" i="27"/>
  <c r="L364" i="27"/>
  <c r="M364" i="27" s="1"/>
  <c r="A361" i="27"/>
  <c r="O357" i="27"/>
  <c r="U355" i="27"/>
  <c r="L347" i="27"/>
  <c r="M347" i="27" s="1"/>
  <c r="A344" i="27"/>
  <c r="O340" i="27"/>
  <c r="U338" i="27"/>
  <c r="L335" i="27"/>
  <c r="M335" i="27" s="1"/>
  <c r="A332" i="27"/>
  <c r="O328" i="27"/>
  <c r="U326" i="27"/>
  <c r="L323" i="27"/>
  <c r="M323" i="27" s="1"/>
  <c r="A320" i="27"/>
  <c r="O316" i="27"/>
  <c r="L398" i="27"/>
  <c r="M398" i="27" s="1"/>
  <c r="A395" i="27"/>
  <c r="O391" i="27"/>
  <c r="U389" i="27"/>
  <c r="L386" i="27"/>
  <c r="M386" i="27" s="1"/>
  <c r="A383" i="27"/>
  <c r="O379" i="27"/>
  <c r="U377" i="27"/>
  <c r="L374" i="27"/>
  <c r="M374" i="27" s="1"/>
  <c r="A371" i="27"/>
  <c r="O367" i="27"/>
  <c r="U365" i="27"/>
  <c r="L362" i="27"/>
  <c r="M362" i="27" s="1"/>
  <c r="A359" i="27"/>
  <c r="O355" i="27"/>
  <c r="U348" i="27"/>
  <c r="L345" i="27"/>
  <c r="M345" i="27" s="1"/>
  <c r="A342" i="27"/>
  <c r="O338" i="27"/>
  <c r="U336" i="27"/>
  <c r="L333" i="27"/>
  <c r="M333" i="27" s="1"/>
  <c r="A330" i="27"/>
  <c r="O326" i="27"/>
  <c r="U324" i="27"/>
  <c r="L321" i="27"/>
  <c r="M321" i="27" s="1"/>
  <c r="A318" i="27"/>
  <c r="A159" i="27"/>
  <c r="O155" i="27"/>
  <c r="U148" i="27"/>
  <c r="L145" i="27"/>
  <c r="M145" i="27" s="1"/>
  <c r="A142" i="27"/>
  <c r="O138" i="27"/>
  <c r="U136" i="27"/>
  <c r="L133" i="27"/>
  <c r="M133" i="27" s="1"/>
  <c r="A130" i="27"/>
  <c r="O126" i="27"/>
  <c r="U124" i="27"/>
  <c r="L121" i="27"/>
  <c r="M121" i="27" s="1"/>
  <c r="U396" i="27"/>
  <c r="O392" i="27"/>
  <c r="U387" i="27"/>
  <c r="A379" i="27"/>
  <c r="L365" i="27"/>
  <c r="M365" i="27" s="1"/>
  <c r="U360" i="27"/>
  <c r="O356" i="27"/>
  <c r="U346" i="27"/>
  <c r="A338" i="27"/>
  <c r="L324" i="27"/>
  <c r="M324" i="27" s="1"/>
  <c r="U319" i="27"/>
  <c r="O315" i="27"/>
  <c r="U157" i="27"/>
  <c r="L147" i="27"/>
  <c r="M147" i="27" s="1"/>
  <c r="U143" i="27"/>
  <c r="L138" i="27"/>
  <c r="M138" i="27" s="1"/>
  <c r="O136" i="27"/>
  <c r="U134" i="27"/>
  <c r="A133" i="27"/>
  <c r="L129" i="27"/>
  <c r="M129" i="27" s="1"/>
  <c r="U125" i="27"/>
  <c r="A124" i="27"/>
  <c r="L120" i="27"/>
  <c r="M120" i="27" s="1"/>
  <c r="A117" i="27"/>
  <c r="O113" i="27"/>
  <c r="U111" i="27"/>
  <c r="L108" i="27"/>
  <c r="M108" i="27" s="1"/>
  <c r="A105" i="27"/>
  <c r="O96" i="27"/>
  <c r="U94" i="27"/>
  <c r="L91" i="27"/>
  <c r="M91" i="27" s="1"/>
  <c r="A88" i="27"/>
  <c r="O84" i="27"/>
  <c r="U82" i="27"/>
  <c r="L79" i="27"/>
  <c r="M79" i="27" s="1"/>
  <c r="A76" i="27"/>
  <c r="O72" i="27"/>
  <c r="U70" i="27"/>
  <c r="L67" i="27"/>
  <c r="M67" i="27" s="1"/>
  <c r="A64" i="27"/>
  <c r="O394" i="27"/>
  <c r="L392" i="27"/>
  <c r="M392" i="27" s="1"/>
  <c r="A390" i="27"/>
  <c r="O385" i="27"/>
  <c r="A381" i="27"/>
  <c r="U378" i="27"/>
  <c r="L367" i="27"/>
  <c r="M367" i="27" s="1"/>
  <c r="O358" i="27"/>
  <c r="L356" i="27"/>
  <c r="M356" i="27" s="1"/>
  <c r="A354" i="27"/>
  <c r="O344" i="27"/>
  <c r="A340" i="27"/>
  <c r="U337" i="27"/>
  <c r="L326" i="27"/>
  <c r="M326" i="27" s="1"/>
  <c r="O317" i="27"/>
  <c r="L315" i="27"/>
  <c r="M315" i="27" s="1"/>
  <c r="O159" i="27"/>
  <c r="A156" i="27"/>
  <c r="O145" i="27"/>
  <c r="U141" i="27"/>
  <c r="L136" i="27"/>
  <c r="M136" i="27" s="1"/>
  <c r="U132" i="27"/>
  <c r="O127" i="27"/>
  <c r="U123" i="27"/>
  <c r="O118" i="27"/>
  <c r="U116" i="27"/>
  <c r="L113" i="27"/>
  <c r="M113" i="27" s="1"/>
  <c r="A110" i="27"/>
  <c r="O106" i="27"/>
  <c r="U104" i="27"/>
  <c r="L96" i="27"/>
  <c r="M96" i="27" s="1"/>
  <c r="A93" i="27"/>
  <c r="O89" i="27"/>
  <c r="U87" i="27"/>
  <c r="L84" i="27"/>
  <c r="M84" i="27" s="1"/>
  <c r="A81" i="27"/>
  <c r="O77" i="27"/>
  <c r="U75" i="27"/>
  <c r="L72" i="27"/>
  <c r="M72" i="27" s="1"/>
  <c r="A69" i="27"/>
  <c r="O65" i="27"/>
  <c r="U63" i="27"/>
  <c r="O396" i="27"/>
  <c r="L394" i="27"/>
  <c r="M394" i="27" s="1"/>
  <c r="O387" i="27"/>
  <c r="U380" i="27"/>
  <c r="A374" i="27"/>
  <c r="A372" i="27"/>
  <c r="L369" i="27"/>
  <c r="M369" i="27" s="1"/>
  <c r="O360" i="27"/>
  <c r="L358" i="27"/>
  <c r="M358" i="27" s="1"/>
  <c r="O346" i="27"/>
  <c r="U339" i="27"/>
  <c r="A333" i="27"/>
  <c r="A331" i="27"/>
  <c r="L328" i="27"/>
  <c r="M328" i="27" s="1"/>
  <c r="O319" i="27"/>
  <c r="L317" i="27"/>
  <c r="M317" i="27" s="1"/>
  <c r="L159" i="27"/>
  <c r="O157" i="27"/>
  <c r="U155" i="27"/>
  <c r="A154" i="27"/>
  <c r="O143" i="27"/>
  <c r="A140" i="27"/>
  <c r="O134" i="27"/>
  <c r="A131" i="27"/>
  <c r="L127" i="27"/>
  <c r="M127" i="27" s="1"/>
  <c r="O125" i="27"/>
  <c r="A122" i="27"/>
  <c r="L118" i="27"/>
  <c r="M118" i="27" s="1"/>
  <c r="A115" i="27"/>
  <c r="O111" i="27"/>
  <c r="U109" i="27"/>
  <c r="L106" i="27"/>
  <c r="M106" i="27" s="1"/>
  <c r="A98" i="27"/>
  <c r="O94" i="27"/>
  <c r="U92" i="27"/>
  <c r="L89" i="27"/>
  <c r="M89" i="27" s="1"/>
  <c r="A86" i="27"/>
  <c r="O82" i="27"/>
  <c r="U80" i="27"/>
  <c r="L77" i="27"/>
  <c r="M77" i="27" s="1"/>
  <c r="A74" i="27"/>
  <c r="O70" i="27"/>
  <c r="U68" i="27"/>
  <c r="L65" i="27"/>
  <c r="M65" i="27" s="1"/>
  <c r="A62" i="27"/>
  <c r="O398" i="27"/>
  <c r="L396" i="27"/>
  <c r="M396" i="27" s="1"/>
  <c r="O389" i="27"/>
  <c r="L387" i="27"/>
  <c r="M387" i="27" s="1"/>
  <c r="U382" i="27"/>
  <c r="A376" i="27"/>
  <c r="U373" i="27"/>
  <c r="U371" i="27"/>
  <c r="A365" i="27"/>
  <c r="O362" i="27"/>
  <c r="L360" i="27"/>
  <c r="M360" i="27" s="1"/>
  <c r="O348" i="27"/>
  <c r="L346" i="27"/>
  <c r="M346" i="27" s="1"/>
  <c r="U341" i="27"/>
  <c r="A335" i="27"/>
  <c r="U332" i="27"/>
  <c r="U330" i="27"/>
  <c r="A324" i="27"/>
  <c r="O321" i="27"/>
  <c r="L319" i="27"/>
  <c r="M319" i="27" s="1"/>
  <c r="L157" i="27"/>
  <c r="A147" i="27"/>
  <c r="L143" i="27"/>
  <c r="M143" i="27" s="1"/>
  <c r="O141" i="27"/>
  <c r="U139" i="27"/>
  <c r="A138" i="27"/>
  <c r="L134" i="27"/>
  <c r="M134" i="27" s="1"/>
  <c r="O132" i="27"/>
  <c r="U130" i="27"/>
  <c r="A129" i="27"/>
  <c r="L125" i="27"/>
  <c r="M125" i="27" s="1"/>
  <c r="O123" i="27"/>
  <c r="U121" i="27"/>
  <c r="A120" i="27"/>
  <c r="O116" i="27"/>
  <c r="U114" i="27"/>
  <c r="L111" i="27"/>
  <c r="M111" i="27" s="1"/>
  <c r="A108" i="27"/>
  <c r="O104" i="27"/>
  <c r="U97" i="27"/>
  <c r="L94" i="27"/>
  <c r="M94" i="27" s="1"/>
  <c r="A91" i="27"/>
  <c r="O87" i="27"/>
  <c r="U85" i="27"/>
  <c r="L82" i="27"/>
  <c r="M82" i="27" s="1"/>
  <c r="A79" i="27"/>
  <c r="O75" i="27"/>
  <c r="L391" i="27"/>
  <c r="M391" i="27" s="1"/>
  <c r="O382" i="27"/>
  <c r="L380" i="27"/>
  <c r="M380" i="27" s="1"/>
  <c r="A378" i="27"/>
  <c r="O373" i="27"/>
  <c r="A369" i="27"/>
  <c r="U366" i="27"/>
  <c r="L355" i="27"/>
  <c r="M355" i="27" s="1"/>
  <c r="O341" i="27"/>
  <c r="L339" i="27"/>
  <c r="M339" i="27" s="1"/>
  <c r="A337" i="27"/>
  <c r="O332" i="27"/>
  <c r="A328" i="27"/>
  <c r="U325" i="27"/>
  <c r="U158" i="27"/>
  <c r="L148" i="27"/>
  <c r="M148" i="27" s="1"/>
  <c r="U144" i="27"/>
  <c r="O139" i="27"/>
  <c r="U135" i="27"/>
  <c r="O130" i="27"/>
  <c r="A127" i="27"/>
  <c r="O121" i="27"/>
  <c r="A118" i="27"/>
  <c r="O114" i="27"/>
  <c r="U112" i="27"/>
  <c r="L109" i="27"/>
  <c r="M109" i="27" s="1"/>
  <c r="A106" i="27"/>
  <c r="O97" i="27"/>
  <c r="U95" i="27"/>
  <c r="L92" i="27"/>
  <c r="M92" i="27" s="1"/>
  <c r="A89" i="27"/>
  <c r="O85" i="27"/>
  <c r="U83" i="27"/>
  <c r="L80" i="27"/>
  <c r="M80" i="27" s="1"/>
  <c r="A77" i="27"/>
  <c r="O73" i="27"/>
  <c r="U71" i="27"/>
  <c r="L68" i="27"/>
  <c r="M68" i="27" s="1"/>
  <c r="A65" i="27"/>
  <c r="O61" i="27"/>
  <c r="U59" i="27"/>
  <c r="L56" i="27"/>
  <c r="M56" i="27" s="1"/>
  <c r="A48" i="27"/>
  <c r="O44" i="27"/>
  <c r="U42" i="27"/>
  <c r="L39" i="27"/>
  <c r="M39" i="27" s="1"/>
  <c r="A36" i="27"/>
  <c r="O32" i="27"/>
  <c r="U30" i="27"/>
  <c r="L27" i="27"/>
  <c r="M27" i="27" s="1"/>
  <c r="A24" i="27"/>
  <c r="O20" i="27"/>
  <c r="U18" i="27"/>
  <c r="L15" i="27"/>
  <c r="M15" i="27" s="1"/>
  <c r="A12" i="27"/>
  <c r="O8" i="27"/>
  <c r="U6" i="27"/>
  <c r="L393" i="27"/>
  <c r="M393" i="27" s="1"/>
  <c r="U390" i="27"/>
  <c r="A388" i="27"/>
  <c r="A377" i="27"/>
  <c r="A366" i="27"/>
  <c r="L363" i="27"/>
  <c r="M363" i="27" s="1"/>
  <c r="A355" i="27"/>
  <c r="O333" i="27"/>
  <c r="U327" i="27"/>
  <c r="O322" i="27"/>
  <c r="O158" i="27"/>
  <c r="L156" i="27"/>
  <c r="U146" i="27"/>
  <c r="O142" i="27"/>
  <c r="L140" i="27"/>
  <c r="M140" i="27" s="1"/>
  <c r="U137" i="27"/>
  <c r="O135" i="27"/>
  <c r="O128" i="27"/>
  <c r="L112" i="27"/>
  <c r="M112" i="27" s="1"/>
  <c r="U107" i="27"/>
  <c r="O98" i="27"/>
  <c r="U93" i="27"/>
  <c r="A85" i="27"/>
  <c r="U73" i="27"/>
  <c r="O71" i="27"/>
  <c r="O69" i="27"/>
  <c r="O57" i="27"/>
  <c r="A54" i="27"/>
  <c r="L45" i="27"/>
  <c r="M45" i="27" s="1"/>
  <c r="O43" i="27"/>
  <c r="A40" i="27"/>
  <c r="L36" i="27"/>
  <c r="M36" i="27" s="1"/>
  <c r="O34" i="27"/>
  <c r="U32" i="27"/>
  <c r="A31" i="27"/>
  <c r="O25" i="27"/>
  <c r="A22" i="27"/>
  <c r="O16" i="27"/>
  <c r="A13" i="27"/>
  <c r="L9" i="27"/>
  <c r="M9" i="27" s="1"/>
  <c r="O7" i="27"/>
  <c r="A4" i="27"/>
  <c r="O5" i="27"/>
  <c r="A135" i="27"/>
  <c r="A114" i="27"/>
  <c r="U90" i="27"/>
  <c r="O60" i="27"/>
  <c r="O46" i="27"/>
  <c r="U384" i="27"/>
  <c r="L382" i="27"/>
  <c r="M382" i="27" s="1"/>
  <c r="L379" i="27"/>
  <c r="M379" i="27" s="1"/>
  <c r="O368" i="27"/>
  <c r="L357" i="27"/>
  <c r="M357" i="27" s="1"/>
  <c r="U354" i="27"/>
  <c r="A347" i="27"/>
  <c r="A336" i="27"/>
  <c r="A325" i="27"/>
  <c r="L322" i="27"/>
  <c r="M322" i="27" s="1"/>
  <c r="L158" i="27"/>
  <c r="O144" i="27"/>
  <c r="L142" i="27"/>
  <c r="M142" i="27" s="1"/>
  <c r="L135" i="27"/>
  <c r="M135" i="27" s="1"/>
  <c r="L128" i="27"/>
  <c r="M128" i="27" s="1"/>
  <c r="L123" i="27"/>
  <c r="M123" i="27" s="1"/>
  <c r="L114" i="27"/>
  <c r="M114" i="27" s="1"/>
  <c r="O105" i="27"/>
  <c r="L98" i="27"/>
  <c r="M98" i="27" s="1"/>
  <c r="A96" i="27"/>
  <c r="O91" i="27"/>
  <c r="A87" i="27"/>
  <c r="U84" i="27"/>
  <c r="L71" i="27"/>
  <c r="M71" i="27" s="1"/>
  <c r="L69" i="27"/>
  <c r="M69" i="27" s="1"/>
  <c r="A63" i="27"/>
  <c r="A61" i="27"/>
  <c r="L57" i="27"/>
  <c r="M57" i="27" s="1"/>
  <c r="O55" i="27"/>
  <c r="U48" i="27"/>
  <c r="A47" i="27"/>
  <c r="L43" i="27"/>
  <c r="M43" i="27" s="1"/>
  <c r="O41" i="27"/>
  <c r="U39" i="27"/>
  <c r="A38" i="27"/>
  <c r="L34" i="27"/>
  <c r="M34" i="27" s="1"/>
  <c r="A29" i="27"/>
  <c r="L25" i="27"/>
  <c r="M25" i="27" s="1"/>
  <c r="O23" i="27"/>
  <c r="U21" i="27"/>
  <c r="A20" i="27"/>
  <c r="L16" i="27"/>
  <c r="M16" i="27" s="1"/>
  <c r="O14" i="27"/>
  <c r="U12" i="27"/>
  <c r="A11" i="27"/>
  <c r="L7" i="27"/>
  <c r="M7" i="27" s="1"/>
  <c r="U392" i="27"/>
  <c r="L155" i="27"/>
  <c r="O86" i="27"/>
  <c r="O64" i="27"/>
  <c r="A43" i="27"/>
  <c r="A396" i="27"/>
  <c r="U370" i="27"/>
  <c r="L368" i="27"/>
  <c r="M368" i="27" s="1"/>
  <c r="O365" i="27"/>
  <c r="U343" i="27"/>
  <c r="L341" i="27"/>
  <c r="M341" i="27" s="1"/>
  <c r="L338" i="27"/>
  <c r="M338" i="27" s="1"/>
  <c r="O327" i="27"/>
  <c r="L316" i="27"/>
  <c r="M316" i="27" s="1"/>
  <c r="O146" i="27"/>
  <c r="L144" i="27"/>
  <c r="M144" i="27" s="1"/>
  <c r="O137" i="27"/>
  <c r="L130" i="27"/>
  <c r="M130" i="27" s="1"/>
  <c r="A126" i="27"/>
  <c r="A121" i="27"/>
  <c r="A119" i="27"/>
  <c r="L116" i="27"/>
  <c r="M116" i="27" s="1"/>
  <c r="O107" i="27"/>
  <c r="L105" i="27"/>
  <c r="M105" i="27" s="1"/>
  <c r="O93" i="27"/>
  <c r="U86" i="27"/>
  <c r="A80" i="27"/>
  <c r="A78" i="27"/>
  <c r="L75" i="27"/>
  <c r="M75" i="27" s="1"/>
  <c r="L73" i="27"/>
  <c r="M73" i="27" s="1"/>
  <c r="A67" i="27"/>
  <c r="U64" i="27"/>
  <c r="U62" i="27"/>
  <c r="U60" i="27"/>
  <c r="A59" i="27"/>
  <c r="L55" i="27"/>
  <c r="M55" i="27" s="1"/>
  <c r="U46" i="27"/>
  <c r="L41" i="27"/>
  <c r="M41" i="27" s="1"/>
  <c r="U37" i="27"/>
  <c r="L32" i="27"/>
  <c r="M32" i="27" s="1"/>
  <c r="O30" i="27"/>
  <c r="U28" i="27"/>
  <c r="A27" i="27"/>
  <c r="L23" i="27"/>
  <c r="M23" i="27" s="1"/>
  <c r="U19" i="27"/>
  <c r="A18" i="27"/>
  <c r="L14" i="27"/>
  <c r="M14" i="27" s="1"/>
  <c r="U10" i="27"/>
  <c r="L5" i="27"/>
  <c r="M5" i="27" s="1"/>
  <c r="L95" i="27"/>
  <c r="M95" i="27" s="1"/>
  <c r="A71" i="27"/>
  <c r="L48" i="27"/>
  <c r="M48" i="27" s="1"/>
  <c r="O37" i="27"/>
  <c r="O28" i="27"/>
  <c r="U395" i="27"/>
  <c r="A393" i="27"/>
  <c r="O384" i="27"/>
  <c r="A360" i="27"/>
  <c r="U329" i="27"/>
  <c r="L327" i="27"/>
  <c r="M327" i="27" s="1"/>
  <c r="O324" i="27"/>
  <c r="O148" i="27"/>
  <c r="L146" i="27"/>
  <c r="M146" i="27" s="1"/>
  <c r="L137" i="27"/>
  <c r="M137" i="27" s="1"/>
  <c r="L132" i="27"/>
  <c r="M132" i="27" s="1"/>
  <c r="U120" i="27"/>
  <c r="U118" i="27"/>
  <c r="A112" i="27"/>
  <c r="O109" i="27"/>
  <c r="L107" i="27"/>
  <c r="M107" i="27" s="1"/>
  <c r="O95" i="27"/>
  <c r="L93" i="27"/>
  <c r="M93" i="27" s="1"/>
  <c r="U88" i="27"/>
  <c r="A82" i="27"/>
  <c r="U79" i="27"/>
  <c r="U77" i="27"/>
  <c r="U66" i="27"/>
  <c r="U58" i="27"/>
  <c r="O48" i="27"/>
  <c r="A45" i="27"/>
  <c r="O39" i="27"/>
  <c r="U35" i="27"/>
  <c r="L30" i="27"/>
  <c r="M30" i="27" s="1"/>
  <c r="U26" i="27"/>
  <c r="O21" i="27"/>
  <c r="U17" i="27"/>
  <c r="O12" i="27"/>
  <c r="A9" i="27"/>
  <c r="L384" i="27"/>
  <c r="M384" i="27" s="1"/>
  <c r="U375" i="27"/>
  <c r="O370" i="27"/>
  <c r="U359" i="27"/>
  <c r="A357" i="27"/>
  <c r="O343" i="27"/>
  <c r="A319" i="27"/>
  <c r="A158" i="27"/>
  <c r="L139" i="27"/>
  <c r="M139" i="27" s="1"/>
  <c r="A128" i="27"/>
  <c r="A123" i="27"/>
  <c r="U81" i="27"/>
  <c r="O62" i="27"/>
  <c r="A57" i="27"/>
  <c r="U44" i="27"/>
  <c r="U394" i="27"/>
  <c r="A384" i="27"/>
  <c r="L375" i="27"/>
  <c r="M375" i="27" s="1"/>
  <c r="O372" i="27"/>
  <c r="U361" i="27"/>
  <c r="O334" i="27"/>
  <c r="A321" i="27"/>
  <c r="O397" i="27"/>
  <c r="A389" i="27"/>
  <c r="A386" i="27"/>
  <c r="U383" i="27"/>
  <c r="O377" i="27"/>
  <c r="L372" i="27"/>
  <c r="M372" i="27" s="1"/>
  <c r="A367" i="27"/>
  <c r="A364" i="27"/>
  <c r="U358" i="27"/>
  <c r="A343" i="27"/>
  <c r="L334" i="27"/>
  <c r="M334" i="27" s="1"/>
  <c r="O331" i="27"/>
  <c r="U320" i="27"/>
  <c r="A157" i="27"/>
  <c r="U154" i="27"/>
  <c r="A141" i="27"/>
  <c r="U138" i="27"/>
  <c r="A134" i="27"/>
  <c r="O124" i="27"/>
  <c r="L122" i="27"/>
  <c r="M122" i="27" s="1"/>
  <c r="U119" i="27"/>
  <c r="O115" i="27"/>
  <c r="U110" i="27"/>
  <c r="A97" i="27"/>
  <c r="L83" i="27"/>
  <c r="M83" i="27" s="1"/>
  <c r="U78" i="27"/>
  <c r="O74" i="27"/>
  <c r="A68" i="27"/>
  <c r="U61" i="27"/>
  <c r="A60" i="27"/>
  <c r="O54" i="27"/>
  <c r="A46" i="27"/>
  <c r="O40" i="27"/>
  <c r="A37" i="27"/>
  <c r="L33" i="27"/>
  <c r="M33" i="27" s="1"/>
  <c r="O31" i="27"/>
  <c r="A28" i="27"/>
  <c r="L24" i="27"/>
  <c r="M24" i="27" s="1"/>
  <c r="O22" i="27"/>
  <c r="U20" i="27"/>
  <c r="A19" i="27"/>
  <c r="O13" i="27"/>
  <c r="A10" i="27"/>
  <c r="O4" i="27"/>
  <c r="U385" i="27"/>
  <c r="O380" i="27"/>
  <c r="L377" i="27"/>
  <c r="M377" i="27" s="1"/>
  <c r="U363" i="27"/>
  <c r="O361" i="27"/>
  <c r="A348" i="27"/>
  <c r="A345" i="27"/>
  <c r="U342" i="27"/>
  <c r="O336" i="27"/>
  <c r="L331" i="27"/>
  <c r="M331" i="27" s="1"/>
  <c r="A326" i="27"/>
  <c r="A323" i="27"/>
  <c r="U317" i="27"/>
  <c r="L370" i="27"/>
  <c r="M370" i="27" s="1"/>
  <c r="L340" i="27"/>
  <c r="M340" i="27" s="1"/>
  <c r="U322" i="27"/>
  <c r="A316" i="27"/>
  <c r="U159" i="27"/>
  <c r="O156" i="27"/>
  <c r="A146" i="27"/>
  <c r="O140" i="27"/>
  <c r="U133" i="27"/>
  <c r="L131" i="27"/>
  <c r="M131" i="27" s="1"/>
  <c r="O119" i="27"/>
  <c r="U105" i="27"/>
  <c r="A95" i="27"/>
  <c r="A92" i="27"/>
  <c r="U72" i="27"/>
  <c r="A70" i="27"/>
  <c r="U56" i="27"/>
  <c r="A42" i="27"/>
  <c r="U34" i="27"/>
  <c r="U29" i="27"/>
  <c r="O27" i="27"/>
  <c r="U22" i="27"/>
  <c r="L13" i="27"/>
  <c r="M13" i="27" s="1"/>
  <c r="L6" i="27"/>
  <c r="M6" i="27" s="1"/>
  <c r="U397" i="27"/>
  <c r="O79" i="27"/>
  <c r="O386" i="27"/>
  <c r="L90" i="27"/>
  <c r="M90" i="27" s="1"/>
  <c r="U23" i="27"/>
  <c r="U11" i="27"/>
  <c r="L348" i="27"/>
  <c r="M348" i="27" s="1"/>
  <c r="O129" i="27"/>
  <c r="A26" i="27"/>
  <c r="O9" i="27"/>
  <c r="U98" i="27"/>
  <c r="L87" i="27"/>
  <c r="M87" i="27" s="1"/>
  <c r="A14" i="27"/>
  <c r="U4" i="27"/>
  <c r="L37" i="27"/>
  <c r="M37" i="27" s="1"/>
  <c r="A16" i="27"/>
  <c r="A84" i="27"/>
  <c r="O67" i="27"/>
  <c r="L20" i="27"/>
  <c r="M20" i="27" s="1"/>
  <c r="U315" i="27"/>
  <c r="U145" i="27"/>
  <c r="A143" i="27"/>
  <c r="A137" i="27"/>
  <c r="O122" i="27"/>
  <c r="L119" i="27"/>
  <c r="M119" i="27" s="1"/>
  <c r="U113" i="27"/>
  <c r="A111" i="27"/>
  <c r="O108" i="27"/>
  <c r="U91" i="27"/>
  <c r="L86" i="27"/>
  <c r="M86" i="27" s="1"/>
  <c r="O83" i="27"/>
  <c r="U69" i="27"/>
  <c r="L64" i="27"/>
  <c r="M64" i="27" s="1"/>
  <c r="L54" i="27"/>
  <c r="M54" i="27" s="1"/>
  <c r="U41" i="27"/>
  <c r="U36" i="27"/>
  <c r="A25" i="27"/>
  <c r="O17" i="27"/>
  <c r="O15" i="27"/>
  <c r="L8" i="27"/>
  <c r="M8" i="27" s="1"/>
  <c r="U55" i="27"/>
  <c r="L141" i="27"/>
  <c r="M141" i="27" s="1"/>
  <c r="O112" i="27"/>
  <c r="U334" i="27"/>
  <c r="A132" i="27"/>
  <c r="A104" i="27"/>
  <c r="L40" i="27"/>
  <c r="M40" i="27" s="1"/>
  <c r="L389" i="27"/>
  <c r="M389" i="27" s="1"/>
  <c r="A144" i="27"/>
  <c r="L70" i="27"/>
  <c r="M70" i="27" s="1"/>
  <c r="U25" i="27"/>
  <c r="L117" i="27"/>
  <c r="M117" i="27" s="1"/>
  <c r="L81" i="27"/>
  <c r="M81" i="27" s="1"/>
  <c r="L62" i="27"/>
  <c r="M62" i="27" s="1"/>
  <c r="A73" i="27"/>
  <c r="L59" i="27"/>
  <c r="M59" i="27" s="1"/>
  <c r="A35" i="27"/>
  <c r="L343" i="27"/>
  <c r="M343" i="27" s="1"/>
  <c r="L336" i="27"/>
  <c r="M336" i="27" s="1"/>
  <c r="O329" i="27"/>
  <c r="U318" i="27"/>
  <c r="U142" i="27"/>
  <c r="O133" i="27"/>
  <c r="L97" i="27"/>
  <c r="M97" i="27" s="1"/>
  <c r="O80" i="27"/>
  <c r="A75" i="27"/>
  <c r="L61" i="27"/>
  <c r="M61" i="27" s="1"/>
  <c r="O56" i="27"/>
  <c r="L46" i="27"/>
  <c r="M46" i="27" s="1"/>
  <c r="A44" i="27"/>
  <c r="A39" i="27"/>
  <c r="A32" i="27"/>
  <c r="O29" i="27"/>
  <c r="U24" i="27"/>
  <c r="L22" i="27"/>
  <c r="M22" i="27" s="1"/>
  <c r="L17" i="27"/>
  <c r="M17" i="27" s="1"/>
  <c r="O10" i="27"/>
  <c r="L38" i="27"/>
  <c r="M38" i="27" s="1"/>
  <c r="L115" i="27"/>
  <c r="M115" i="27" s="1"/>
  <c r="A58" i="27"/>
  <c r="L28" i="27"/>
  <c r="M28" i="27" s="1"/>
  <c r="O154" i="27"/>
  <c r="U106" i="27"/>
  <c r="U57" i="27"/>
  <c r="U131" i="27"/>
  <c r="O92" i="27"/>
  <c r="L18" i="27"/>
  <c r="M18" i="27" s="1"/>
  <c r="O374" i="27"/>
  <c r="A90" i="27"/>
  <c r="A55" i="27"/>
  <c r="U27" i="27"/>
  <c r="O363" i="27"/>
  <c r="U128" i="27"/>
  <c r="L44" i="27"/>
  <c r="M44" i="27" s="1"/>
  <c r="O6" i="27"/>
  <c r="L329" i="27"/>
  <c r="M329" i="27" s="1"/>
  <c r="A148" i="27"/>
  <c r="U127" i="27"/>
  <c r="A125" i="27"/>
  <c r="O110" i="27"/>
  <c r="U74" i="27"/>
  <c r="O66" i="27"/>
  <c r="O58" i="27"/>
  <c r="U43" i="27"/>
  <c r="U38" i="27"/>
  <c r="O36" i="27"/>
  <c r="U31" i="27"/>
  <c r="L29" i="27"/>
  <c r="M29" i="27" s="1"/>
  <c r="O19" i="27"/>
  <c r="L10" i="27"/>
  <c r="M10" i="27" s="1"/>
  <c r="A6" i="27"/>
  <c r="U5" i="27"/>
  <c r="O147" i="27"/>
  <c r="L63" i="27"/>
  <c r="M63" i="27" s="1"/>
  <c r="U117" i="27"/>
  <c r="U47" i="27"/>
  <c r="O33" i="27"/>
  <c r="O320" i="27"/>
  <c r="O42" i="27"/>
  <c r="A5" i="27"/>
  <c r="U344" i="27"/>
  <c r="O117" i="27"/>
  <c r="U67" i="27"/>
  <c r="O11" i="27"/>
  <c r="U140" i="27"/>
  <c r="A109" i="27"/>
  <c r="L47" i="27"/>
  <c r="M47" i="27" s="1"/>
  <c r="U13" i="27"/>
  <c r="L381" i="27"/>
  <c r="M381" i="27" s="1"/>
  <c r="U122" i="27"/>
  <c r="L78" i="27"/>
  <c r="M78" i="27" s="1"/>
  <c r="U54" i="27"/>
  <c r="U15" i="27"/>
  <c r="A391" i="27"/>
  <c r="U372" i="27"/>
  <c r="O339" i="27"/>
  <c r="U147" i="27"/>
  <c r="A116" i="27"/>
  <c r="L110" i="27"/>
  <c r="M110" i="27" s="1"/>
  <c r="A94" i="27"/>
  <c r="O88" i="27"/>
  <c r="A83" i="27"/>
  <c r="A72" i="27"/>
  <c r="L66" i="27"/>
  <c r="M66" i="27" s="1"/>
  <c r="L58" i="27"/>
  <c r="M58" i="27" s="1"/>
  <c r="A34" i="27"/>
  <c r="O26" i="27"/>
  <c r="O24" i="27"/>
  <c r="L19" i="27"/>
  <c r="M19" i="27" s="1"/>
  <c r="A15" i="27"/>
  <c r="L12" i="27"/>
  <c r="M12" i="27" s="1"/>
  <c r="A8" i="27"/>
  <c r="U129" i="27"/>
  <c r="O68" i="27"/>
  <c r="L21" i="27"/>
  <c r="M21" i="27" s="1"/>
  <c r="U9" i="27"/>
  <c r="U126" i="27"/>
  <c r="A107" i="27"/>
  <c r="O76" i="27"/>
  <c r="O45" i="27"/>
  <c r="L76" i="27"/>
  <c r="M76" i="27" s="1"/>
  <c r="U65" i="27"/>
  <c r="L35" i="27"/>
  <c r="M35" i="27" s="1"/>
  <c r="O18" i="27"/>
  <c r="L126" i="27"/>
  <c r="M126" i="27" s="1"/>
  <c r="L42" i="27"/>
  <c r="M42" i="27" s="1"/>
  <c r="A21" i="27"/>
  <c r="O78" i="27"/>
  <c r="O59" i="27"/>
  <c r="A33" i="27"/>
  <c r="L11" i="27"/>
  <c r="M11" i="27" s="1"/>
  <c r="U108" i="27"/>
  <c r="U89" i="27"/>
  <c r="A23" i="27"/>
  <c r="U8" i="27"/>
  <c r="A398" i="27"/>
  <c r="A362" i="27"/>
  <c r="A145" i="27"/>
  <c r="A136" i="27"/>
  <c r="L124" i="27"/>
  <c r="M124" i="27" s="1"/>
  <c r="U115" i="27"/>
  <c r="A113" i="27"/>
  <c r="L104" i="27"/>
  <c r="M104" i="27" s="1"/>
  <c r="U96" i="27"/>
  <c r="L88" i="27"/>
  <c r="M88" i="27" s="1"/>
  <c r="L85" i="27"/>
  <c r="M85" i="27" s="1"/>
  <c r="U76" i="27"/>
  <c r="L74" i="27"/>
  <c r="M74" i="27" s="1"/>
  <c r="O63" i="27"/>
  <c r="A56" i="27"/>
  <c r="U45" i="27"/>
  <c r="A41" i="27"/>
  <c r="O38" i="27"/>
  <c r="U33" i="27"/>
  <c r="L31" i="27"/>
  <c r="M31" i="27" s="1"/>
  <c r="L26" i="27"/>
  <c r="M26" i="27" s="1"/>
  <c r="A17" i="27"/>
  <c r="U14" i="27"/>
  <c r="U7" i="27"/>
  <c r="O375" i="27"/>
  <c r="U368" i="27"/>
  <c r="O345" i="27"/>
  <c r="U331" i="27"/>
  <c r="A155" i="27"/>
  <c r="A139" i="27"/>
  <c r="O90" i="27"/>
  <c r="L60" i="27"/>
  <c r="M60" i="27" s="1"/>
  <c r="U40" i="27"/>
  <c r="U16" i="27"/>
  <c r="A66" i="27"/>
  <c r="O35" i="27"/>
  <c r="O120" i="27"/>
  <c r="U356" i="27"/>
  <c r="L154" i="27"/>
  <c r="M154" i="27" s="1"/>
  <c r="O81" i="27"/>
  <c r="O47" i="27"/>
  <c r="A7" i="27"/>
  <c r="U156" i="27"/>
  <c r="O131" i="27"/>
  <c r="A30" i="27"/>
  <c r="L4" i="27"/>
  <c r="M4" i="27" s="1"/>
  <c r="N103" i="26"/>
  <c r="N98" i="26"/>
  <c r="N93" i="26"/>
  <c r="N88" i="26"/>
  <c r="N103" i="25"/>
  <c r="N96" i="25"/>
  <c r="N87" i="25"/>
  <c r="N80" i="25"/>
  <c r="N95" i="25"/>
  <c r="N99" i="26"/>
  <c r="N97" i="25"/>
  <c r="N81" i="25"/>
  <c r="N108" i="26"/>
  <c r="N75" i="26"/>
  <c r="N70" i="26"/>
  <c r="N105" i="25"/>
  <c r="N89" i="25"/>
  <c r="N95" i="26"/>
  <c r="N90" i="26"/>
  <c r="N85" i="26"/>
  <c r="N80" i="26"/>
  <c r="N98" i="25"/>
  <c r="N82" i="25"/>
  <c r="N71" i="21"/>
  <c r="N66" i="21"/>
  <c r="N89" i="26"/>
  <c r="N110" i="26"/>
  <c r="N105" i="26"/>
  <c r="N100" i="26"/>
  <c r="N67" i="26"/>
  <c r="N107" i="25"/>
  <c r="N100" i="25"/>
  <c r="N91" i="25"/>
  <c r="N84" i="25"/>
  <c r="N88" i="25"/>
  <c r="N84" i="26"/>
  <c r="N87" i="26"/>
  <c r="N82" i="26"/>
  <c r="N77" i="26"/>
  <c r="N72" i="26"/>
  <c r="N109" i="25"/>
  <c r="N93" i="25"/>
  <c r="N77" i="25"/>
  <c r="N68" i="21"/>
  <c r="N79" i="26"/>
  <c r="N74" i="26"/>
  <c r="N69" i="26"/>
  <c r="N104" i="25"/>
  <c r="N79" i="25"/>
  <c r="N107" i="26"/>
  <c r="N102" i="26"/>
  <c r="N97" i="26"/>
  <c r="N92" i="26"/>
  <c r="N102" i="25"/>
  <c r="N86" i="25"/>
  <c r="N94" i="26"/>
  <c r="N81" i="26"/>
  <c r="N66" i="26"/>
  <c r="N106" i="25"/>
  <c r="N92" i="25"/>
  <c r="N76" i="26"/>
  <c r="N83" i="25"/>
  <c r="N96" i="26"/>
  <c r="N99" i="25"/>
  <c r="N67" i="21"/>
  <c r="N110" i="25"/>
  <c r="N73" i="26"/>
  <c r="N85" i="25"/>
  <c r="N104" i="26"/>
  <c r="N106" i="26"/>
  <c r="N91" i="26"/>
  <c r="N108" i="25"/>
  <c r="N78" i="25"/>
  <c r="N70" i="21"/>
  <c r="N69" i="21"/>
  <c r="N109" i="26"/>
  <c r="N101" i="25"/>
  <c r="N86" i="26"/>
  <c r="N90" i="25"/>
  <c r="N78" i="26"/>
  <c r="N83" i="26"/>
  <c r="N68" i="26"/>
  <c r="N94" i="25"/>
  <c r="N101" i="26"/>
  <c r="N71" i="26"/>
  <c r="L277" i="3"/>
  <c r="L19" i="20"/>
  <c r="U276" i="3"/>
  <c r="L33" i="20"/>
  <c r="L34" i="20"/>
  <c r="L22" i="20"/>
  <c r="U274" i="3"/>
  <c r="L31" i="20"/>
  <c r="L21" i="20"/>
  <c r="U277" i="3"/>
  <c r="L276" i="3"/>
  <c r="L274" i="3"/>
  <c r="E181" i="5"/>
  <c r="A182" i="5"/>
  <c r="D181" i="5"/>
  <c r="A171" i="6"/>
  <c r="C171" i="6" s="1"/>
  <c r="M100" i="27" l="1"/>
  <c r="M150" i="27"/>
  <c r="M400" i="27"/>
  <c r="M50" i="27"/>
  <c r="D182" i="5"/>
  <c r="E182" i="5"/>
  <c r="A183" i="5"/>
  <c r="A172" i="6"/>
  <c r="C172" i="6" s="1"/>
  <c r="E183" i="5" l="1"/>
  <c r="D183" i="5"/>
  <c r="A184" i="5"/>
  <c r="A173" i="6"/>
  <c r="C173" i="6" s="1"/>
  <c r="E184" i="5" l="1"/>
  <c r="D184" i="5"/>
  <c r="A185" i="5"/>
  <c r="A186" i="5" s="1"/>
  <c r="A187" i="5" s="1"/>
  <c r="A174" i="6"/>
  <c r="C174" i="6" s="1"/>
  <c r="D186" i="5" l="1"/>
  <c r="E186" i="5"/>
  <c r="D185" i="5"/>
  <c r="A188" i="5"/>
  <c r="E185" i="5"/>
  <c r="A175" i="6"/>
  <c r="C175" i="6" s="1"/>
  <c r="D187" i="5" l="1"/>
  <c r="E187" i="5"/>
  <c r="A176" i="6"/>
  <c r="C176" i="6" s="1"/>
  <c r="A177" i="6" l="1"/>
  <c r="C177" i="6" s="1"/>
  <c r="A189" i="5" l="1"/>
  <c r="D188" i="5"/>
  <c r="E188" i="5"/>
  <c r="A178" i="6"/>
  <c r="C178" i="6" s="1"/>
  <c r="A190" i="5" l="1"/>
  <c r="E189" i="5"/>
  <c r="D189" i="5"/>
  <c r="A179" i="6"/>
  <c r="C179" i="6" s="1"/>
  <c r="D190" i="5" l="1"/>
  <c r="E190" i="5"/>
  <c r="A191" i="5"/>
  <c r="A180" i="6"/>
  <c r="C180" i="6" s="1"/>
  <c r="A192" i="5" l="1"/>
  <c r="E191" i="5"/>
  <c r="D191" i="5"/>
  <c r="A181" i="6"/>
  <c r="C181" i="6" s="1"/>
  <c r="D192" i="5" l="1"/>
  <c r="A193" i="5"/>
  <c r="E192" i="5"/>
  <c r="A182" i="6"/>
  <c r="A183" i="6" s="1"/>
  <c r="C183" i="6" s="1"/>
  <c r="D193" i="5" l="1"/>
  <c r="E193" i="5"/>
  <c r="A194" i="5"/>
  <c r="A184" i="6"/>
  <c r="A185" i="6" s="1"/>
  <c r="A186" i="6" s="1"/>
  <c r="C186" i="6" s="1"/>
  <c r="A195" i="5" l="1"/>
  <c r="D194" i="5"/>
  <c r="E194" i="5"/>
  <c r="A187" i="6"/>
  <c r="C187" i="6" s="1"/>
  <c r="D195" i="5" l="1"/>
  <c r="A196" i="5"/>
  <c r="E195" i="5"/>
  <c r="A188" i="6"/>
  <c r="C188" i="6" s="1"/>
  <c r="D196" i="5" l="1"/>
  <c r="A197" i="5"/>
  <c r="E196" i="5"/>
  <c r="A189" i="6"/>
  <c r="C189" i="6" s="1"/>
  <c r="A198" i="5" l="1"/>
  <c r="D197" i="5"/>
  <c r="E197" i="5"/>
  <c r="A190" i="6"/>
  <c r="C190" i="6" s="1"/>
  <c r="A199" i="5" l="1"/>
  <c r="D198" i="5"/>
  <c r="E198" i="5"/>
  <c r="A191" i="6"/>
  <c r="C191" i="6" s="1"/>
  <c r="D199" i="5" l="1"/>
  <c r="A200" i="5"/>
  <c r="E199" i="5"/>
  <c r="A192" i="6"/>
  <c r="C192" i="6" s="1"/>
  <c r="A201" i="5" l="1"/>
  <c r="D200" i="5"/>
  <c r="E200" i="5"/>
  <c r="A193" i="6"/>
  <c r="C193" i="6" s="1"/>
  <c r="A202" i="5" l="1"/>
  <c r="E201" i="5"/>
  <c r="D201" i="5"/>
  <c r="A194" i="6"/>
  <c r="C194" i="6" s="1"/>
  <c r="D202" i="5" l="1"/>
  <c r="E202" i="5"/>
  <c r="A203" i="5"/>
  <c r="A195" i="6"/>
  <c r="C195" i="6" s="1"/>
  <c r="D203" i="5" l="1"/>
  <c r="A204" i="5"/>
  <c r="E203" i="5"/>
  <c r="A196" i="6"/>
  <c r="C196" i="6" s="1"/>
  <c r="D204" i="5" l="1"/>
  <c r="A205" i="5"/>
  <c r="A206" i="5" s="1"/>
  <c r="A207" i="5" s="1"/>
  <c r="E204" i="5"/>
  <c r="A197" i="6"/>
  <c r="C197" i="6" s="1"/>
  <c r="E205" i="5" l="1"/>
  <c r="D205" i="5"/>
  <c r="E206" i="5"/>
  <c r="D206" i="5"/>
  <c r="A198" i="6"/>
  <c r="C198" i="6" s="1"/>
  <c r="A208" i="5" l="1"/>
  <c r="E207" i="5"/>
  <c r="D207" i="5"/>
  <c r="A199" i="6"/>
  <c r="C199" i="6" s="1"/>
  <c r="A209" i="5" l="1"/>
  <c r="A210" i="5" s="1"/>
  <c r="A211" i="5" s="1"/>
  <c r="D208" i="5"/>
  <c r="E208" i="5"/>
  <c r="A200" i="6"/>
  <c r="C200" i="6" s="1"/>
  <c r="D210" i="5" l="1"/>
  <c r="E210" i="5"/>
  <c r="D209" i="5"/>
  <c r="E209" i="5"/>
  <c r="A201" i="6"/>
  <c r="C201" i="6" s="1"/>
  <c r="E211" i="5" l="1"/>
  <c r="A212" i="5"/>
  <c r="A213" i="5" s="1"/>
  <c r="D211" i="5"/>
  <c r="A202" i="6"/>
  <c r="C202" i="6" s="1"/>
  <c r="A214" i="5" l="1"/>
  <c r="A215" i="5" s="1"/>
  <c r="A216" i="5" s="1"/>
  <c r="D213" i="5"/>
  <c r="E213" i="5"/>
  <c r="D212" i="5"/>
  <c r="E212" i="5"/>
  <c r="A203" i="6"/>
  <c r="C203" i="6" s="1"/>
  <c r="D215" i="5" l="1"/>
  <c r="E215" i="5"/>
  <c r="D214" i="5"/>
  <c r="E214" i="5"/>
  <c r="A204" i="6"/>
  <c r="C204" i="6" s="1"/>
  <c r="D216" i="5" l="1"/>
  <c r="E216" i="5"/>
  <c r="A217" i="5"/>
  <c r="A205" i="6"/>
  <c r="C205" i="6" s="1"/>
  <c r="D217" i="5" l="1"/>
  <c r="A218" i="5"/>
  <c r="E217" i="5"/>
  <c r="A206" i="6"/>
  <c r="C206" i="6" s="1"/>
  <c r="E218" i="5" l="1"/>
  <c r="D218" i="5"/>
  <c r="A219" i="5"/>
  <c r="A207" i="6"/>
  <c r="C207" i="6" s="1"/>
  <c r="D219" i="5" l="1"/>
  <c r="E219" i="5"/>
  <c r="A220" i="5"/>
  <c r="A208" i="6"/>
  <c r="C208" i="6" s="1"/>
  <c r="D220" i="5" l="1"/>
  <c r="A221" i="5"/>
  <c r="E220" i="5"/>
  <c r="A209" i="6"/>
  <c r="C209" i="6" s="1"/>
  <c r="A222" i="5" l="1"/>
  <c r="D221" i="5"/>
  <c r="E221" i="5"/>
  <c r="A210" i="6"/>
  <c r="C210" i="6" s="1"/>
  <c r="D222" i="5" l="1"/>
  <c r="E222" i="5"/>
  <c r="A223" i="5"/>
  <c r="A211" i="6"/>
  <c r="C211" i="6" s="1"/>
  <c r="A224" i="5" l="1"/>
  <c r="D223" i="5"/>
  <c r="E223" i="5"/>
  <c r="A212" i="6"/>
  <c r="C212" i="6" s="1"/>
  <c r="D224" i="5" l="1"/>
  <c r="A225" i="5"/>
  <c r="E224" i="5"/>
  <c r="A213" i="6"/>
  <c r="C213" i="6" s="1"/>
  <c r="D225" i="5" l="1"/>
  <c r="A226" i="5"/>
  <c r="E225" i="5"/>
  <c r="A214" i="6"/>
  <c r="C214" i="6" s="1"/>
  <c r="A227" i="5" l="1"/>
  <c r="D226" i="5"/>
  <c r="E226" i="5"/>
  <c r="A215" i="6"/>
  <c r="C215" i="6" s="1"/>
  <c r="E227" i="5" l="1"/>
  <c r="D227" i="5"/>
  <c r="A228" i="5"/>
  <c r="A216" i="6"/>
  <c r="C216" i="6" s="1"/>
  <c r="D228" i="5" l="1"/>
  <c r="A229" i="5"/>
  <c r="E228" i="5"/>
  <c r="A217" i="6"/>
  <c r="C217" i="6" s="1"/>
  <c r="E229" i="5" l="1"/>
  <c r="D229" i="5"/>
  <c r="A230" i="5"/>
  <c r="A218" i="6"/>
  <c r="A219" i="6" s="1"/>
  <c r="C219" i="6" s="1"/>
  <c r="E230" i="5" l="1"/>
  <c r="D230" i="5"/>
  <c r="A231" i="5"/>
  <c r="A220" i="6"/>
  <c r="A221" i="6" s="1"/>
  <c r="A222" i="6" s="1"/>
  <c r="C222" i="6" s="1"/>
  <c r="C258" i="6" s="1"/>
  <c r="B30" i="16" l="1"/>
  <c r="F42" i="2"/>
  <c r="G13" i="2" s="1"/>
  <c r="D231" i="5"/>
  <c r="E231" i="5"/>
  <c r="A232" i="5"/>
  <c r="A223" i="6"/>
  <c r="C223" i="6" s="1"/>
  <c r="C259" i="6" s="1"/>
  <c r="F67" i="2" s="1"/>
  <c r="A233" i="5" l="1"/>
  <c r="D232" i="5"/>
  <c r="E232" i="5"/>
  <c r="A224" i="6"/>
  <c r="C224" i="6" s="1"/>
  <c r="C260" i="6" s="1"/>
  <c r="F43" i="2" s="1"/>
  <c r="D233" i="5" l="1"/>
  <c r="E233" i="5"/>
  <c r="A234" i="5"/>
  <c r="A225" i="6"/>
  <c r="C225" i="6" s="1"/>
  <c r="C261" i="6" s="1"/>
  <c r="F44" i="2" s="1"/>
  <c r="E234" i="5" l="1"/>
  <c r="D234" i="5"/>
  <c r="A235" i="5"/>
  <c r="A226" i="6"/>
  <c r="C226" i="6" s="1"/>
  <c r="C262" i="6" s="1"/>
  <c r="F45" i="2" s="1"/>
  <c r="D235" i="5" l="1"/>
  <c r="E235" i="5"/>
  <c r="A236" i="5"/>
  <c r="A227" i="6"/>
  <c r="C227" i="6" s="1"/>
  <c r="C263" i="6" s="1"/>
  <c r="F46" i="2" s="1"/>
  <c r="E236" i="5" l="1"/>
  <c r="A237" i="5"/>
  <c r="A238" i="5" s="1"/>
  <c r="A239" i="5" s="1"/>
  <c r="D236" i="5"/>
  <c r="A228" i="6"/>
  <c r="C228" i="6" s="1"/>
  <c r="C264" i="6" s="1"/>
  <c r="F68" i="2" s="1"/>
  <c r="E238" i="5" l="1"/>
  <c r="D238" i="5"/>
  <c r="D237" i="5"/>
  <c r="E237" i="5"/>
  <c r="A229" i="6"/>
  <c r="C229" i="6" s="1"/>
  <c r="C265" i="6" s="1"/>
  <c r="F69" i="2" s="1"/>
  <c r="A240" i="5" l="1"/>
  <c r="D239" i="5"/>
  <c r="E239" i="5"/>
  <c r="A230" i="6"/>
  <c r="C230" i="6" s="1"/>
  <c r="C266" i="6" s="1"/>
  <c r="F70" i="2" s="1"/>
  <c r="D240" i="5" l="1"/>
  <c r="E240" i="5"/>
  <c r="A241" i="5"/>
  <c r="A231" i="6"/>
  <c r="C231" i="6" s="1"/>
  <c r="C267" i="6" s="1"/>
  <c r="F71" i="2" s="1"/>
  <c r="D241" i="5" l="1"/>
  <c r="E241" i="5"/>
  <c r="A242" i="5"/>
  <c r="A232" i="6"/>
  <c r="C232" i="6" s="1"/>
  <c r="C268" i="6" s="1"/>
  <c r="F72" i="2" s="1"/>
  <c r="A243" i="5" l="1"/>
  <c r="E242" i="5"/>
  <c r="D242" i="5"/>
  <c r="A233" i="6"/>
  <c r="C233" i="6" s="1"/>
  <c r="C269" i="6" s="1"/>
  <c r="F73" i="2" s="1"/>
  <c r="E243" i="5" l="1"/>
  <c r="D243" i="5"/>
  <c r="A244" i="5"/>
  <c r="A234" i="6"/>
  <c r="C234" i="6" s="1"/>
  <c r="C270" i="6" s="1"/>
  <c r="F47" i="2" s="1"/>
  <c r="A245" i="5" l="1"/>
  <c r="E244" i="5"/>
  <c r="D244" i="5"/>
  <c r="A235" i="6"/>
  <c r="C235" i="6" s="1"/>
  <c r="C271" i="6" s="1"/>
  <c r="F74" i="2" s="1"/>
  <c r="E245" i="5" l="1"/>
  <c r="A246" i="5"/>
  <c r="D245" i="5"/>
  <c r="A236" i="6"/>
  <c r="C236" i="6" s="1"/>
  <c r="C272" i="6" s="1"/>
  <c r="F75" i="2" s="1"/>
  <c r="A247" i="5" l="1"/>
  <c r="E246" i="5"/>
  <c r="D246" i="5"/>
  <c r="A237" i="6"/>
  <c r="C237" i="6" s="1"/>
  <c r="C273" i="6" s="1"/>
  <c r="F76" i="2" s="1"/>
  <c r="D247" i="5" l="1"/>
  <c r="E247" i="5"/>
  <c r="A248" i="5"/>
  <c r="A238" i="6"/>
  <c r="C238" i="6" s="1"/>
  <c r="C274" i="6" s="1"/>
  <c r="F77" i="2" s="1"/>
  <c r="D248" i="5" l="1"/>
  <c r="E248" i="5"/>
  <c r="A249" i="5"/>
  <c r="A239" i="6"/>
  <c r="C239" i="6" s="1"/>
  <c r="C275" i="6" s="1"/>
  <c r="F78" i="2" s="1"/>
  <c r="A250" i="5" l="1"/>
  <c r="E249" i="5"/>
  <c r="D249" i="5"/>
  <c r="A240" i="6"/>
  <c r="C240" i="6" s="1"/>
  <c r="C276" i="6" s="1"/>
  <c r="F79" i="2" s="1"/>
  <c r="A251" i="5" l="1"/>
  <c r="D250" i="5"/>
  <c r="E250" i="5"/>
  <c r="A241" i="6"/>
  <c r="C241" i="6" s="1"/>
  <c r="C277" i="6" s="1"/>
  <c r="F80" i="2" s="1"/>
  <c r="A252" i="5" l="1"/>
  <c r="D251" i="5"/>
  <c r="E251" i="5"/>
  <c r="A242" i="6"/>
  <c r="C242" i="6" s="1"/>
  <c r="C278" i="6" s="1"/>
  <c r="F81" i="2" s="1"/>
  <c r="D252" i="5" l="1"/>
  <c r="E252" i="5"/>
  <c r="A253" i="5"/>
  <c r="A243" i="6"/>
  <c r="C243" i="6" s="1"/>
  <c r="C279" i="6" s="1"/>
  <c r="F48" i="2" s="1"/>
  <c r="D253" i="5" l="1"/>
  <c r="A254" i="5"/>
  <c r="E253" i="5"/>
  <c r="A244" i="6"/>
  <c r="C244" i="6" s="1"/>
  <c r="C280" i="6" s="1"/>
  <c r="F49" i="2" s="1"/>
  <c r="D254" i="5" l="1"/>
  <c r="E254" i="5"/>
  <c r="A255" i="5"/>
  <c r="A256" i="5" s="1"/>
  <c r="A245" i="6"/>
  <c r="C245" i="6" s="1"/>
  <c r="C281" i="6" s="1"/>
  <c r="F50" i="2" s="1"/>
  <c r="D255" i="5" l="1"/>
  <c r="E255" i="5"/>
  <c r="A246" i="6"/>
  <c r="C246" i="6" s="1"/>
  <c r="C282" i="6" s="1"/>
  <c r="F53" i="2" s="1"/>
  <c r="A247" i="6" l="1"/>
  <c r="C247" i="6" s="1"/>
  <c r="C283" i="6" s="1"/>
  <c r="F54" i="2" s="1"/>
  <c r="D256" i="5" l="1"/>
  <c r="E256" i="5"/>
  <c r="A257" i="5"/>
  <c r="A248" i="6"/>
  <c r="C248" i="6" s="1"/>
  <c r="C284" i="6" s="1"/>
  <c r="F55" i="2" s="1"/>
  <c r="E257" i="5" l="1"/>
  <c r="D257" i="5"/>
  <c r="A258" i="5"/>
  <c r="A249" i="6"/>
  <c r="C249" i="6" s="1"/>
  <c r="C285" i="6" s="1"/>
  <c r="F56" i="2" s="1"/>
  <c r="B76" i="23" l="1"/>
  <c r="B67" i="21"/>
  <c r="B92" i="23"/>
  <c r="B87" i="23"/>
  <c r="B103" i="21"/>
  <c r="B74" i="21"/>
  <c r="B86" i="21"/>
  <c r="B82" i="21"/>
  <c r="B105" i="21"/>
  <c r="B109" i="21"/>
  <c r="B102" i="21"/>
  <c r="B80" i="21"/>
  <c r="B70" i="23"/>
  <c r="B79" i="23"/>
  <c r="B87" i="21"/>
  <c r="B93" i="23"/>
  <c r="B72" i="21"/>
  <c r="B75" i="21"/>
  <c r="B73" i="23"/>
  <c r="B84" i="23"/>
  <c r="B84" i="21"/>
  <c r="B100" i="21"/>
  <c r="B88" i="23"/>
  <c r="B76" i="21"/>
  <c r="B67" i="23"/>
  <c r="B91" i="23"/>
  <c r="B71" i="23"/>
  <c r="B69" i="21"/>
  <c r="B82" i="23"/>
  <c r="B94" i="23"/>
  <c r="B68" i="23"/>
  <c r="B90" i="23"/>
  <c r="B77" i="21"/>
  <c r="B90" i="21"/>
  <c r="B75" i="23"/>
  <c r="B101" i="21"/>
  <c r="B83" i="21"/>
  <c r="B92" i="21"/>
  <c r="B68" i="21"/>
  <c r="B108" i="21"/>
  <c r="B104" i="21"/>
  <c r="B80" i="23"/>
  <c r="B95" i="21"/>
  <c r="B97" i="21"/>
  <c r="B73" i="21"/>
  <c r="B86" i="23"/>
  <c r="B71" i="21"/>
  <c r="B70" i="21"/>
  <c r="B88" i="21"/>
  <c r="B85" i="21"/>
  <c r="B98" i="21"/>
  <c r="B94" i="21"/>
  <c r="B72" i="23"/>
  <c r="B81" i="23"/>
  <c r="B93" i="21"/>
  <c r="B91" i="21"/>
  <c r="B85" i="23"/>
  <c r="B99" i="21"/>
  <c r="B74" i="23"/>
  <c r="B83" i="23"/>
  <c r="B89" i="23"/>
  <c r="B107" i="21"/>
  <c r="B77" i="23"/>
  <c r="B81" i="21"/>
  <c r="B78" i="21"/>
  <c r="B96" i="21"/>
  <c r="B89" i="21"/>
  <c r="B110" i="21"/>
  <c r="B69" i="23"/>
  <c r="B79" i="21"/>
  <c r="B66" i="23"/>
  <c r="B106" i="21"/>
  <c r="B78" i="23"/>
  <c r="O21" i="23"/>
  <c r="O24" i="21"/>
  <c r="O16" i="21"/>
  <c r="O44" i="21"/>
  <c r="O34" i="23"/>
  <c r="O37" i="21"/>
  <c r="O25" i="23"/>
  <c r="O45" i="21"/>
  <c r="O14" i="21"/>
  <c r="O36" i="23"/>
  <c r="O39" i="21"/>
  <c r="O40" i="21"/>
  <c r="O14" i="23"/>
  <c r="O17" i="21"/>
  <c r="O39" i="23"/>
  <c r="O42" i="21"/>
  <c r="O16" i="23"/>
  <c r="O18" i="23"/>
  <c r="O31" i="23"/>
  <c r="O32" i="23"/>
  <c r="O46" i="21"/>
  <c r="O34" i="21"/>
  <c r="K67" i="23"/>
  <c r="D19" i="21"/>
  <c r="D73" i="21" s="1"/>
  <c r="K85" i="23"/>
  <c r="D38" i="23"/>
  <c r="D92" i="23" s="1"/>
  <c r="D26" i="23"/>
  <c r="D80" i="23" s="1"/>
  <c r="D14" i="23"/>
  <c r="D68" i="23" s="1"/>
  <c r="K74" i="21"/>
  <c r="K68" i="23"/>
  <c r="K94" i="23"/>
  <c r="K99" i="21"/>
  <c r="K87" i="23"/>
  <c r="K76" i="21"/>
  <c r="D52" i="21"/>
  <c r="D106" i="21" s="1"/>
  <c r="D40" i="21"/>
  <c r="D94" i="21" s="1"/>
  <c r="D28" i="21"/>
  <c r="D82" i="21" s="1"/>
  <c r="K73" i="23"/>
  <c r="K86" i="21"/>
  <c r="D40" i="23"/>
  <c r="D94" i="23" s="1"/>
  <c r="D28" i="23"/>
  <c r="D82" i="23" s="1"/>
  <c r="D16" i="23"/>
  <c r="D70" i="23" s="1"/>
  <c r="K68" i="21"/>
  <c r="K85" i="21"/>
  <c r="O33" i="23"/>
  <c r="O36" i="21"/>
  <c r="O31" i="21"/>
  <c r="O30" i="23"/>
  <c r="O49" i="21"/>
  <c r="O28" i="21"/>
  <c r="O23" i="23"/>
  <c r="O26" i="21"/>
  <c r="O37" i="23"/>
  <c r="O51" i="21"/>
  <c r="O40" i="23"/>
  <c r="O26" i="23"/>
  <c r="O29" i="21"/>
  <c r="O54" i="21"/>
  <c r="O28" i="23"/>
  <c r="O21" i="21"/>
  <c r="O23" i="21"/>
  <c r="O20" i="23"/>
  <c r="O35" i="21"/>
  <c r="O22" i="21"/>
  <c r="K92" i="23"/>
  <c r="K107" i="21"/>
  <c r="K91" i="23"/>
  <c r="K69" i="23"/>
  <c r="D35" i="23"/>
  <c r="D89" i="23" s="1"/>
  <c r="D23" i="23"/>
  <c r="D77" i="23" s="1"/>
  <c r="K89" i="21"/>
  <c r="D22" i="21"/>
  <c r="D76" i="21" s="1"/>
  <c r="K78" i="23"/>
  <c r="K94" i="21"/>
  <c r="K93" i="21"/>
  <c r="K80" i="23"/>
  <c r="K71" i="21"/>
  <c r="D49" i="21"/>
  <c r="D103" i="21" s="1"/>
  <c r="D37" i="21"/>
  <c r="D91" i="21" s="1"/>
  <c r="D16" i="21"/>
  <c r="D70" i="21" s="1"/>
  <c r="K101" i="21"/>
  <c r="K84" i="23"/>
  <c r="K82" i="23"/>
  <c r="D37" i="23"/>
  <c r="D91" i="23" s="1"/>
  <c r="D25" i="23"/>
  <c r="D79" i="23" s="1"/>
  <c r="D13" i="23"/>
  <c r="D67" i="23" s="1"/>
  <c r="D53" i="21"/>
  <c r="D107" i="21" s="1"/>
  <c r="D38" i="21"/>
  <c r="D92" i="21" s="1"/>
  <c r="O48" i="21"/>
  <c r="O33" i="21"/>
  <c r="O13" i="21"/>
  <c r="O19" i="21"/>
  <c r="O35" i="23"/>
  <c r="O38" i="21"/>
  <c r="O52" i="21"/>
  <c r="O15" i="21"/>
  <c r="O17" i="23"/>
  <c r="O38" i="23"/>
  <c r="O41" i="21"/>
  <c r="O15" i="23"/>
  <c r="O18" i="21"/>
  <c r="O43" i="21"/>
  <c r="O56" i="21"/>
  <c r="O19" i="23"/>
  <c r="K83" i="23"/>
  <c r="K102" i="21"/>
  <c r="K78" i="21"/>
  <c r="D32" i="23"/>
  <c r="D86" i="23" s="1"/>
  <c r="D20" i="23"/>
  <c r="D74" i="23" s="1"/>
  <c r="K84" i="21"/>
  <c r="K109" i="21"/>
  <c r="D25" i="21"/>
  <c r="D79" i="21" s="1"/>
  <c r="O12" i="23"/>
  <c r="O13" i="23"/>
  <c r="O20" i="21"/>
  <c r="O29" i="23"/>
  <c r="O27" i="21"/>
  <c r="O53" i="21"/>
  <c r="O27" i="23"/>
  <c r="O47" i="21"/>
  <c r="D17" i="23"/>
  <c r="D71" i="23" s="1"/>
  <c r="K71" i="23"/>
  <c r="D46" i="21"/>
  <c r="D100" i="21" s="1"/>
  <c r="K96" i="21"/>
  <c r="D22" i="23"/>
  <c r="D76" i="23" s="1"/>
  <c r="K88" i="21"/>
  <c r="D17" i="21"/>
  <c r="D71" i="21" s="1"/>
  <c r="D18" i="21"/>
  <c r="D72" i="21" s="1"/>
  <c r="D50" i="21"/>
  <c r="D104" i="21" s="1"/>
  <c r="D36" i="23"/>
  <c r="D90" i="23" s="1"/>
  <c r="D20" i="21"/>
  <c r="D74" i="21" s="1"/>
  <c r="D29" i="21"/>
  <c r="D83" i="21" s="1"/>
  <c r="K110" i="21"/>
  <c r="D27" i="21"/>
  <c r="D81" i="21" s="1"/>
  <c r="D23" i="21"/>
  <c r="D77" i="21" s="1"/>
  <c r="K70" i="21"/>
  <c r="D15" i="23"/>
  <c r="D69" i="23" s="1"/>
  <c r="D39" i="23"/>
  <c r="D93" i="23" s="1"/>
  <c r="K77" i="21"/>
  <c r="D41" i="21"/>
  <c r="D95" i="21" s="1"/>
  <c r="K87" i="21"/>
  <c r="D48" i="21"/>
  <c r="D102" i="21" s="1"/>
  <c r="D27" i="23"/>
  <c r="D81" i="23" s="1"/>
  <c r="K100" i="21"/>
  <c r="K77" i="23"/>
  <c r="D30" i="21"/>
  <c r="D84" i="21" s="1"/>
  <c r="K72" i="21"/>
  <c r="O30" i="21"/>
  <c r="K76" i="23"/>
  <c r="K79" i="21"/>
  <c r="K81" i="21"/>
  <c r="D43" i="21"/>
  <c r="D97" i="21" s="1"/>
  <c r="K91" i="21"/>
  <c r="D19" i="23"/>
  <c r="D73" i="23" s="1"/>
  <c r="K79" i="23"/>
  <c r="K88" i="23"/>
  <c r="D18" i="23"/>
  <c r="D72" i="23" s="1"/>
  <c r="D36" i="21"/>
  <c r="D90" i="21" s="1"/>
  <c r="D15" i="21"/>
  <c r="D69" i="21" s="1"/>
  <c r="K82" i="21"/>
  <c r="D42" i="21"/>
  <c r="D96" i="21" s="1"/>
  <c r="D44" i="21"/>
  <c r="D98" i="21" s="1"/>
  <c r="D14" i="21"/>
  <c r="D68" i="21" s="1"/>
  <c r="D21" i="23"/>
  <c r="D75" i="23" s="1"/>
  <c r="D39" i="21"/>
  <c r="D93" i="21" s="1"/>
  <c r="K80" i="21"/>
  <c r="D35" i="21"/>
  <c r="D89" i="21" s="1"/>
  <c r="K90" i="21"/>
  <c r="D12" i="23"/>
  <c r="D66" i="23" s="1"/>
  <c r="O25" i="21"/>
  <c r="O24" i="23"/>
  <c r="O55" i="21"/>
  <c r="D31" i="21"/>
  <c r="D85" i="21" s="1"/>
  <c r="D31" i="23"/>
  <c r="D85" i="23" s="1"/>
  <c r="K75" i="23"/>
  <c r="D24" i="21"/>
  <c r="D78" i="21" s="1"/>
  <c r="D33" i="21"/>
  <c r="D87" i="21" s="1"/>
  <c r="K108" i="21"/>
  <c r="K70" i="23"/>
  <c r="K98" i="21"/>
  <c r="D54" i="21"/>
  <c r="D108" i="21" s="1"/>
  <c r="D32" i="21"/>
  <c r="D86" i="21" s="1"/>
  <c r="K93" i="23"/>
  <c r="K97" i="21"/>
  <c r="O22" i="23"/>
  <c r="O50" i="21"/>
  <c r="O32" i="21"/>
  <c r="K69" i="21"/>
  <c r="K104" i="21"/>
  <c r="D34" i="21"/>
  <c r="D88" i="21" s="1"/>
  <c r="K83" i="21"/>
  <c r="K66" i="23"/>
  <c r="D34" i="23"/>
  <c r="D88" i="23" s="1"/>
  <c r="K106" i="21"/>
  <c r="K92" i="21"/>
  <c r="D47" i="21"/>
  <c r="D101" i="21" s="1"/>
  <c r="K72" i="23"/>
  <c r="D56" i="21"/>
  <c r="D110" i="21" s="1"/>
  <c r="K81" i="23"/>
  <c r="K95" i="21"/>
  <c r="D51" i="21"/>
  <c r="D105" i="21" s="1"/>
  <c r="K75" i="21"/>
  <c r="K105" i="21"/>
  <c r="D26" i="21"/>
  <c r="D80" i="21" s="1"/>
  <c r="D30" i="23"/>
  <c r="D84" i="23" s="1"/>
  <c r="K86" i="23"/>
  <c r="D45" i="21"/>
  <c r="D99" i="21" s="1"/>
  <c r="K90" i="23"/>
  <c r="D21" i="21"/>
  <c r="D75" i="21" s="1"/>
  <c r="D29" i="23"/>
  <c r="D83" i="23" s="1"/>
  <c r="D13" i="21"/>
  <c r="D67" i="21" s="1"/>
  <c r="D55" i="21"/>
  <c r="D109" i="21" s="1"/>
  <c r="K89" i="23"/>
  <c r="K73" i="21"/>
  <c r="D33" i="23"/>
  <c r="D87" i="23" s="1"/>
  <c r="K67" i="21"/>
  <c r="K103" i="21"/>
  <c r="D24" i="23"/>
  <c r="D78" i="23" s="1"/>
  <c r="K74" i="23"/>
  <c r="D258" i="5"/>
  <c r="A259" i="5"/>
  <c r="E258" i="5"/>
  <c r="A250" i="6"/>
  <c r="C250" i="6" s="1"/>
  <c r="C286" i="6" s="1"/>
  <c r="F57" i="2" s="1"/>
  <c r="B95" i="23" l="1"/>
  <c r="K95" i="23"/>
  <c r="O41" i="23"/>
  <c r="D41" i="23"/>
  <c r="D95" i="23" s="1"/>
  <c r="O67" i="23"/>
  <c r="I205" i="27"/>
  <c r="I160" i="27"/>
  <c r="O72" i="21"/>
  <c r="O92" i="23"/>
  <c r="I230" i="27"/>
  <c r="O69" i="21"/>
  <c r="I157" i="27"/>
  <c r="I194" i="27"/>
  <c r="O106" i="21"/>
  <c r="I175" i="27"/>
  <c r="O87" i="21"/>
  <c r="O76" i="21"/>
  <c r="I164" i="27"/>
  <c r="O74" i="23"/>
  <c r="I212" i="27"/>
  <c r="O82" i="23"/>
  <c r="I220" i="27"/>
  <c r="I168" i="27"/>
  <c r="O80" i="21"/>
  <c r="O87" i="23"/>
  <c r="I225" i="27"/>
  <c r="O85" i="23"/>
  <c r="I223" i="27"/>
  <c r="O96" i="21"/>
  <c r="I184" i="27"/>
  <c r="O68" i="23"/>
  <c r="I206" i="27"/>
  <c r="O90" i="23"/>
  <c r="I228" i="27"/>
  <c r="O68" i="21"/>
  <c r="I156" i="27"/>
  <c r="O91" i="21"/>
  <c r="I179" i="27"/>
  <c r="O75" i="23"/>
  <c r="I213" i="27"/>
  <c r="O109" i="21"/>
  <c r="I197" i="27"/>
  <c r="I189" i="27"/>
  <c r="O101" i="21"/>
  <c r="O107" i="21"/>
  <c r="I195" i="27"/>
  <c r="O66" i="23"/>
  <c r="I204" i="27"/>
  <c r="J204" i="27" s="1"/>
  <c r="K204" i="27" s="1"/>
  <c r="O73" i="23"/>
  <c r="I211" i="27"/>
  <c r="O69" i="23"/>
  <c r="I207" i="27"/>
  <c r="O92" i="21"/>
  <c r="I180" i="27"/>
  <c r="I161" i="27"/>
  <c r="O73" i="21"/>
  <c r="I165" i="27"/>
  <c r="O77" i="21"/>
  <c r="O83" i="21"/>
  <c r="I171" i="27"/>
  <c r="O94" i="23"/>
  <c r="I232" i="27"/>
  <c r="O77" i="23"/>
  <c r="I215" i="27"/>
  <c r="O82" i="21"/>
  <c r="I170" i="27"/>
  <c r="I222" i="27"/>
  <c r="O84" i="23"/>
  <c r="O88" i="21"/>
  <c r="I176" i="27"/>
  <c r="O72" i="23"/>
  <c r="I210" i="27"/>
  <c r="O93" i="23"/>
  <c r="I231" i="27"/>
  <c r="I226" i="27"/>
  <c r="O88" i="23"/>
  <c r="I158" i="27"/>
  <c r="O70" i="21"/>
  <c r="O104" i="21"/>
  <c r="I192" i="27"/>
  <c r="I216" i="27"/>
  <c r="O78" i="23"/>
  <c r="O81" i="21"/>
  <c r="I169" i="27"/>
  <c r="I162" i="27"/>
  <c r="O74" i="21"/>
  <c r="O110" i="21"/>
  <c r="I198" i="27"/>
  <c r="O71" i="23"/>
  <c r="I209" i="27"/>
  <c r="O89" i="23"/>
  <c r="I227" i="27"/>
  <c r="O67" i="21"/>
  <c r="I155" i="27"/>
  <c r="I190" i="27"/>
  <c r="O102" i="21"/>
  <c r="O89" i="21"/>
  <c r="I177" i="27"/>
  <c r="O75" i="21"/>
  <c r="I163" i="27"/>
  <c r="O108" i="21"/>
  <c r="I196" i="27"/>
  <c r="I218" i="27"/>
  <c r="O80" i="23"/>
  <c r="O105" i="21"/>
  <c r="I193" i="27"/>
  <c r="I191" i="27"/>
  <c r="O103" i="21"/>
  <c r="O85" i="21"/>
  <c r="I173" i="27"/>
  <c r="I224" i="27"/>
  <c r="O86" i="23"/>
  <c r="O94" i="21"/>
  <c r="I182" i="27"/>
  <c r="O99" i="21"/>
  <c r="I187" i="27"/>
  <c r="O86" i="21"/>
  <c r="I174" i="27"/>
  <c r="O76" i="23"/>
  <c r="I214" i="27"/>
  <c r="I167" i="27"/>
  <c r="O79" i="21"/>
  <c r="O84" i="21"/>
  <c r="I172" i="27"/>
  <c r="I219" i="27"/>
  <c r="O81" i="23"/>
  <c r="I221" i="27"/>
  <c r="O83" i="23"/>
  <c r="O97" i="21"/>
  <c r="I185" i="27"/>
  <c r="O95" i="21"/>
  <c r="I183" i="27"/>
  <c r="O91" i="23"/>
  <c r="I229" i="27"/>
  <c r="O90" i="21"/>
  <c r="I178" i="27"/>
  <c r="O100" i="21"/>
  <c r="I188" i="27"/>
  <c r="I208" i="27"/>
  <c r="O70" i="23"/>
  <c r="I159" i="27"/>
  <c r="O71" i="21"/>
  <c r="I181" i="27"/>
  <c r="O93" i="21"/>
  <c r="O79" i="23"/>
  <c r="I217" i="27"/>
  <c r="O98" i="21"/>
  <c r="I186" i="27"/>
  <c r="O78" i="21"/>
  <c r="I166" i="27"/>
  <c r="D259" i="5"/>
  <c r="A260" i="5"/>
  <c r="E259" i="5"/>
  <c r="A251" i="6"/>
  <c r="C251" i="6" s="1"/>
  <c r="C287" i="6" s="1"/>
  <c r="F58" i="2" s="1"/>
  <c r="J217" i="27" l="1"/>
  <c r="K217" i="27" s="1"/>
  <c r="J209" i="27"/>
  <c r="K209" i="27" s="1"/>
  <c r="J160" i="27"/>
  <c r="K160" i="27" s="1"/>
  <c r="J181" i="27"/>
  <c r="K181" i="27" s="1"/>
  <c r="J221" i="27"/>
  <c r="K221" i="27" s="1"/>
  <c r="J224" i="27"/>
  <c r="K224" i="27" s="1"/>
  <c r="J218" i="27"/>
  <c r="K218" i="27" s="1"/>
  <c r="J190" i="27"/>
  <c r="K190" i="27" s="1"/>
  <c r="J176" i="27"/>
  <c r="K176" i="27" s="1"/>
  <c r="J180" i="27"/>
  <c r="K180" i="27" s="1"/>
  <c r="J195" i="27"/>
  <c r="K195" i="27" s="1"/>
  <c r="J179" i="27"/>
  <c r="K179" i="27" s="1"/>
  <c r="J220" i="27"/>
  <c r="K220" i="27" s="1"/>
  <c r="J205" i="27"/>
  <c r="K205" i="27" s="1"/>
  <c r="J182" i="27"/>
  <c r="K182" i="27" s="1"/>
  <c r="J231" i="27"/>
  <c r="K231" i="27" s="1"/>
  <c r="J188" i="27"/>
  <c r="K188" i="27" s="1"/>
  <c r="J177" i="27"/>
  <c r="K177" i="27" s="1"/>
  <c r="J216" i="27"/>
  <c r="K216" i="27" s="1"/>
  <c r="J167" i="27"/>
  <c r="K167" i="27" s="1"/>
  <c r="J178" i="27"/>
  <c r="K178" i="27" s="1"/>
  <c r="J174" i="27"/>
  <c r="K174" i="27" s="1"/>
  <c r="J155" i="27"/>
  <c r="K155" i="27" s="1"/>
  <c r="J158" i="27"/>
  <c r="K158" i="27" s="1"/>
  <c r="J194" i="27"/>
  <c r="K194" i="27" s="1"/>
  <c r="J211" i="27"/>
  <c r="K211" i="27" s="1"/>
  <c r="J193" i="27"/>
  <c r="K193" i="27" s="1"/>
  <c r="J206" i="27"/>
  <c r="K206" i="27" s="1"/>
  <c r="J214" i="27"/>
  <c r="K214" i="27" s="1"/>
  <c r="J175" i="27"/>
  <c r="K175" i="27" s="1"/>
  <c r="J173" i="27"/>
  <c r="K173" i="27" s="1"/>
  <c r="J159" i="27"/>
  <c r="K159" i="27" s="1"/>
  <c r="J219" i="27"/>
  <c r="K219" i="27" s="1"/>
  <c r="J162" i="27"/>
  <c r="K162" i="27" s="1"/>
  <c r="J207" i="27"/>
  <c r="K207" i="27" s="1"/>
  <c r="J156" i="27"/>
  <c r="K156" i="27" s="1"/>
  <c r="J157" i="27"/>
  <c r="K157" i="27" s="1"/>
  <c r="J213" i="27"/>
  <c r="K213" i="27" s="1"/>
  <c r="J161" i="27"/>
  <c r="K161" i="27" s="1"/>
  <c r="J184" i="27"/>
  <c r="K184" i="27" s="1"/>
  <c r="J187" i="27"/>
  <c r="K187" i="27" s="1"/>
  <c r="J163" i="27"/>
  <c r="K163" i="27" s="1"/>
  <c r="J227" i="27"/>
  <c r="K227" i="27" s="1"/>
  <c r="J169" i="27"/>
  <c r="K169" i="27" s="1"/>
  <c r="J171" i="27"/>
  <c r="K171" i="27" s="1"/>
  <c r="J223" i="27"/>
  <c r="K223" i="27" s="1"/>
  <c r="J212" i="27"/>
  <c r="K212" i="27" s="1"/>
  <c r="J165" i="27"/>
  <c r="K165" i="27" s="1"/>
  <c r="J215" i="27"/>
  <c r="K215" i="27" s="1"/>
  <c r="J168" i="27"/>
  <c r="K168" i="27" s="1"/>
  <c r="J229" i="27"/>
  <c r="K229" i="27" s="1"/>
  <c r="J183" i="27"/>
  <c r="K183" i="27" s="1"/>
  <c r="J172" i="27"/>
  <c r="K172" i="27" s="1"/>
  <c r="J226" i="27"/>
  <c r="K226" i="27" s="1"/>
  <c r="J222" i="27"/>
  <c r="K222" i="27" s="1"/>
  <c r="J189" i="27"/>
  <c r="J197" i="27"/>
  <c r="K197" i="27" s="1"/>
  <c r="J185" i="27"/>
  <c r="K185" i="27" s="1"/>
  <c r="J210" i="27"/>
  <c r="K210" i="27" s="1"/>
  <c r="J192" i="27"/>
  <c r="K192" i="27" s="1"/>
  <c r="J198" i="27"/>
  <c r="K198" i="27" s="1"/>
  <c r="J166" i="27"/>
  <c r="K166" i="27" s="1"/>
  <c r="J196" i="27"/>
  <c r="K196" i="27" s="1"/>
  <c r="J232" i="27"/>
  <c r="K232" i="27" s="1"/>
  <c r="J186" i="27"/>
  <c r="K186" i="27" s="1"/>
  <c r="J208" i="27"/>
  <c r="K208" i="27" s="1"/>
  <c r="J191" i="27"/>
  <c r="K191" i="27" s="1"/>
  <c r="J170" i="27"/>
  <c r="K170" i="27" s="1"/>
  <c r="J228" i="27"/>
  <c r="K228" i="27" s="1"/>
  <c r="J225" i="27"/>
  <c r="K225" i="27" s="1"/>
  <c r="J164" i="27"/>
  <c r="K164" i="27" s="1"/>
  <c r="J230" i="27"/>
  <c r="K230" i="27" s="1"/>
  <c r="O95" i="23"/>
  <c r="I233" i="27"/>
  <c r="A261" i="5"/>
  <c r="E260" i="5"/>
  <c r="D260" i="5"/>
  <c r="A252" i="6"/>
  <c r="C252" i="6" s="1"/>
  <c r="C288" i="6" s="1"/>
  <c r="F60" i="2" s="1"/>
  <c r="D8" i="19" s="1"/>
  <c r="D17" i="19" s="1"/>
  <c r="D26" i="19" s="1"/>
  <c r="D35" i="19" s="1"/>
  <c r="D44" i="19" s="1"/>
  <c r="M159" i="27" l="1"/>
  <c r="M157" i="27"/>
  <c r="M156" i="27"/>
  <c r="M158" i="27"/>
  <c r="M155" i="27"/>
  <c r="K189" i="27"/>
  <c r="K200" i="27" s="1"/>
  <c r="J233" i="27"/>
  <c r="K233" i="27" s="1"/>
  <c r="D261" i="5"/>
  <c r="A262" i="5"/>
  <c r="E261" i="5"/>
  <c r="A253" i="6"/>
  <c r="C253" i="6" s="1"/>
  <c r="C289" i="6" s="1"/>
  <c r="F61" i="2" s="1"/>
  <c r="D9" i="19" s="1"/>
  <c r="D18" i="19" s="1"/>
  <c r="D27" i="19" s="1"/>
  <c r="D36" i="19" s="1"/>
  <c r="D45" i="19" s="1"/>
  <c r="A263" i="5" l="1"/>
  <c r="E262" i="5"/>
  <c r="D262" i="5"/>
  <c r="A254" i="6"/>
  <c r="A255" i="6" s="1"/>
  <c r="C255" i="6" s="1"/>
  <c r="C291" i="6" s="1"/>
  <c r="F63" i="2" s="1"/>
  <c r="D11" i="19" s="1"/>
  <c r="D20" i="19" s="1"/>
  <c r="D29" i="19" s="1"/>
  <c r="D38" i="19" s="1"/>
  <c r="D47" i="19" s="1"/>
  <c r="D263" i="5" l="1"/>
  <c r="E263" i="5"/>
  <c r="A264" i="5"/>
  <c r="D264" i="5" l="1"/>
  <c r="A265" i="5"/>
  <c r="E264" i="5"/>
  <c r="A266" i="5" l="1"/>
  <c r="A267" i="5" s="1"/>
  <c r="D265" i="5"/>
  <c r="E265" i="5"/>
  <c r="A268" i="5" l="1"/>
  <c r="B42" i="3"/>
  <c r="B40" i="3"/>
  <c r="A40" i="3"/>
  <c r="L18" i="20"/>
  <c r="L273" i="3"/>
  <c r="L30" i="20"/>
  <c r="U273" i="3"/>
  <c r="L18" i="28"/>
  <c r="L20" i="28"/>
  <c r="U275" i="3"/>
  <c r="L20" i="20"/>
  <c r="L32" i="20"/>
  <c r="L275" i="3"/>
  <c r="D266" i="5"/>
  <c r="E266" i="5"/>
  <c r="U241" i="27" l="1"/>
  <c r="U229" i="27"/>
  <c r="U217" i="27"/>
  <c r="U205" i="27"/>
  <c r="U188" i="27"/>
  <c r="U176" i="27"/>
  <c r="A240" i="27"/>
  <c r="A228" i="27"/>
  <c r="A216" i="27"/>
  <c r="A204" i="27"/>
  <c r="A187" i="27"/>
  <c r="A175" i="27"/>
  <c r="O241" i="27"/>
  <c r="O229" i="27"/>
  <c r="O217" i="27"/>
  <c r="O205" i="27"/>
  <c r="O188" i="27"/>
  <c r="O176" i="27"/>
  <c r="O234" i="27"/>
  <c r="O222" i="27"/>
  <c r="O210" i="27"/>
  <c r="O193" i="27"/>
  <c r="O181" i="27"/>
  <c r="L239" i="27"/>
  <c r="L227" i="27"/>
  <c r="M227" i="27" s="1"/>
  <c r="L215" i="27"/>
  <c r="M215" i="27" s="1"/>
  <c r="L198" i="27"/>
  <c r="M198" i="27" s="1"/>
  <c r="L186" i="27"/>
  <c r="M186" i="27" s="1"/>
  <c r="L174" i="27"/>
  <c r="M174" i="27" s="1"/>
  <c r="L162" i="27"/>
  <c r="M162" i="27" s="1"/>
  <c r="A220" i="27"/>
  <c r="U187" i="27"/>
  <c r="U166" i="27"/>
  <c r="L233" i="27"/>
  <c r="M233" i="27" s="1"/>
  <c r="U219" i="27"/>
  <c r="A190" i="27"/>
  <c r="O168" i="27"/>
  <c r="O237" i="27"/>
  <c r="A215" i="27"/>
  <c r="L194" i="27"/>
  <c r="M194" i="27" s="1"/>
  <c r="L168" i="27"/>
  <c r="M168" i="27" s="1"/>
  <c r="O239" i="27"/>
  <c r="U223" i="27"/>
  <c r="A206" i="27"/>
  <c r="L187" i="27"/>
  <c r="M187" i="27" s="1"/>
  <c r="A172" i="27"/>
  <c r="U162" i="27"/>
  <c r="A219" i="27"/>
  <c r="L191" i="27"/>
  <c r="M191" i="27" s="1"/>
  <c r="O173" i="27"/>
  <c r="O238" i="27"/>
  <c r="O218" i="27"/>
  <c r="U194" i="27"/>
  <c r="L163" i="27"/>
  <c r="M163" i="27" s="1"/>
  <c r="O169" i="27"/>
  <c r="U226" i="27"/>
  <c r="O197" i="27"/>
  <c r="O177" i="27"/>
  <c r="O180" i="27"/>
  <c r="U171" i="27"/>
  <c r="O215" i="27"/>
  <c r="L160" i="27"/>
  <c r="M160" i="27" s="1"/>
  <c r="A218" i="27"/>
  <c r="U236" i="27"/>
  <c r="U233" i="27"/>
  <c r="U195" i="27"/>
  <c r="A169" i="27"/>
  <c r="L230" i="27"/>
  <c r="M230" i="27" s="1"/>
  <c r="L211" i="27"/>
  <c r="M211" i="27" s="1"/>
  <c r="O209" i="27"/>
  <c r="A225" i="27"/>
  <c r="L220" i="27"/>
  <c r="M220" i="27" s="1"/>
  <c r="O175" i="27"/>
  <c r="O213" i="27"/>
  <c r="O206" i="27"/>
  <c r="A241" i="27"/>
  <c r="U238" i="27"/>
  <c r="L164" i="27"/>
  <c r="M164" i="27" s="1"/>
  <c r="L181" i="27"/>
  <c r="M181" i="27" s="1"/>
  <c r="O170" i="27"/>
  <c r="A188" i="27"/>
  <c r="U192" i="27"/>
  <c r="L179" i="27"/>
  <c r="M179" i="27" s="1"/>
  <c r="L169" i="27"/>
  <c r="M169" i="27" s="1"/>
  <c r="N69" i="23"/>
  <c r="N74" i="21"/>
  <c r="N94" i="23"/>
  <c r="N99" i="21"/>
  <c r="N103" i="23"/>
  <c r="N71" i="23"/>
  <c r="N101" i="21"/>
  <c r="N98" i="23"/>
  <c r="N73" i="21"/>
  <c r="N91" i="23"/>
  <c r="N93" i="21"/>
  <c r="N72" i="23"/>
  <c r="N107" i="21"/>
  <c r="L238" i="27"/>
  <c r="L226" i="27"/>
  <c r="M226" i="27" s="1"/>
  <c r="L214" i="27"/>
  <c r="M214" i="27" s="1"/>
  <c r="L197" i="27"/>
  <c r="M197" i="27" s="1"/>
  <c r="L185" i="27"/>
  <c r="M185" i="27" s="1"/>
  <c r="O236" i="27"/>
  <c r="O224" i="27"/>
  <c r="O212" i="27"/>
  <c r="O195" i="27"/>
  <c r="O183" i="27"/>
  <c r="U239" i="27"/>
  <c r="U227" i="27"/>
  <c r="U215" i="27"/>
  <c r="U198" i="27"/>
  <c r="U186" i="27"/>
  <c r="U174" i="27"/>
  <c r="U232" i="27"/>
  <c r="U220" i="27"/>
  <c r="U208" i="27"/>
  <c r="U191" i="27"/>
  <c r="U179" i="27"/>
  <c r="A236" i="27"/>
  <c r="A224" i="27"/>
  <c r="A212" i="27"/>
  <c r="A195" i="27"/>
  <c r="A183" i="27"/>
  <c r="A171" i="27"/>
  <c r="U237" i="27"/>
  <c r="L206" i="27"/>
  <c r="M206" i="27" s="1"/>
  <c r="A179" i="27"/>
  <c r="A165" i="27"/>
  <c r="A231" i="27"/>
  <c r="L208" i="27"/>
  <c r="M208" i="27" s="1"/>
  <c r="O185" i="27"/>
  <c r="U164" i="27"/>
  <c r="L235" i="27"/>
  <c r="A213" i="27"/>
  <c r="O187" i="27"/>
  <c r="O166" i="27"/>
  <c r="L237" i="27"/>
  <c r="A217" i="27"/>
  <c r="O198" i="27"/>
  <c r="U182" i="27"/>
  <c r="A170" i="27"/>
  <c r="A161" i="27"/>
  <c r="L232" i="27"/>
  <c r="M232" i="27" s="1"/>
  <c r="O214" i="27"/>
  <c r="O182" i="27"/>
  <c r="A168" i="27"/>
  <c r="A230" i="27"/>
  <c r="L213" i="27"/>
  <c r="M213" i="27" s="1"/>
  <c r="A184" i="27"/>
  <c r="U160" i="27"/>
  <c r="O221" i="27"/>
  <c r="A189" i="27"/>
  <c r="O172" i="27"/>
  <c r="L177" i="27"/>
  <c r="M177" i="27" s="1"/>
  <c r="U209" i="27"/>
  <c r="A207" i="27"/>
  <c r="A234" i="27"/>
  <c r="L225" i="27"/>
  <c r="M225" i="27" s="1"/>
  <c r="A193" i="27"/>
  <c r="A164" i="27"/>
  <c r="O227" i="27"/>
  <c r="U197" i="27"/>
  <c r="U163" i="27"/>
  <c r="L182" i="27"/>
  <c r="M182" i="27" s="1"/>
  <c r="L209" i="27"/>
  <c r="M209" i="27" s="1"/>
  <c r="U168" i="27"/>
  <c r="L193" i="27"/>
  <c r="M193" i="27" s="1"/>
  <c r="U161" i="27"/>
  <c r="A237" i="27"/>
  <c r="L189" i="27"/>
  <c r="M189" i="27" s="1"/>
  <c r="U172" i="27"/>
  <c r="O171" i="27"/>
  <c r="N89" i="21"/>
  <c r="N78" i="23"/>
  <c r="N94" i="21"/>
  <c r="N96" i="23"/>
  <c r="N81" i="21"/>
  <c r="N96" i="21"/>
  <c r="N82" i="23"/>
  <c r="N84" i="23"/>
  <c r="N88" i="21"/>
  <c r="N93" i="23"/>
  <c r="A235" i="27"/>
  <c r="A223" i="27"/>
  <c r="A211" i="27"/>
  <c r="A194" i="27"/>
  <c r="A182" i="27"/>
  <c r="U234" i="27"/>
  <c r="U222" i="27"/>
  <c r="U210" i="27"/>
  <c r="U193" i="27"/>
  <c r="U181" i="27"/>
  <c r="L236" i="27"/>
  <c r="L224" i="27"/>
  <c r="M224" i="27" s="1"/>
  <c r="L212" i="27"/>
  <c r="M212" i="27" s="1"/>
  <c r="L195" i="27"/>
  <c r="M195" i="27" s="1"/>
  <c r="L183" i="27"/>
  <c r="M183" i="27" s="1"/>
  <c r="L171" i="27"/>
  <c r="M171" i="27" s="1"/>
  <c r="L241" i="27"/>
  <c r="L229" i="27"/>
  <c r="M229" i="27" s="1"/>
  <c r="L217" i="27"/>
  <c r="M217" i="27" s="1"/>
  <c r="L205" i="27"/>
  <c r="M205" i="27" s="1"/>
  <c r="L188" i="27"/>
  <c r="M188" i="27" s="1"/>
  <c r="L176" i="27"/>
  <c r="M176" i="27" s="1"/>
  <c r="O232" i="27"/>
  <c r="O220" i="27"/>
  <c r="O208" i="27"/>
  <c r="O191" i="27"/>
  <c r="O179" i="27"/>
  <c r="O167" i="27"/>
  <c r="O233" i="27"/>
  <c r="U196" i="27"/>
  <c r="L172" i="27"/>
  <c r="M172" i="27" s="1"/>
  <c r="L161" i="27"/>
  <c r="M161" i="27" s="1"/>
  <c r="O226" i="27"/>
  <c r="O194" i="27"/>
  <c r="A181" i="27"/>
  <c r="O228" i="27"/>
  <c r="L210" i="27"/>
  <c r="M210" i="27" s="1"/>
  <c r="U180" i="27"/>
  <c r="A163" i="27"/>
  <c r="O230" i="27"/>
  <c r="U214" i="27"/>
  <c r="L196" i="27"/>
  <c r="M196" i="27" s="1"/>
  <c r="A176" i="27"/>
  <c r="L166" i="27"/>
  <c r="M166" i="27" s="1"/>
  <c r="O223" i="27"/>
  <c r="A210" i="27"/>
  <c r="L180" i="27"/>
  <c r="M180" i="27" s="1"/>
  <c r="O162" i="27"/>
  <c r="A227" i="27"/>
  <c r="A208" i="27"/>
  <c r="L175" i="27"/>
  <c r="M175" i="27" s="1"/>
  <c r="L218" i="27"/>
  <c r="M218" i="27" s="1"/>
  <c r="A186" i="27"/>
  <c r="U167" i="27"/>
  <c r="O240" i="27"/>
  <c r="U169" i="27"/>
  <c r="L240" i="27"/>
  <c r="O204" i="27"/>
  <c r="L234" i="27"/>
  <c r="A191" i="27"/>
  <c r="O225" i="27"/>
  <c r="U216" i="27"/>
  <c r="O184" i="27"/>
  <c r="L222" i="27"/>
  <c r="M222" i="27" s="1"/>
  <c r="L223" i="27"/>
  <c r="M223" i="27" s="1"/>
  <c r="O190" i="27"/>
  <c r="L207" i="27"/>
  <c r="M207" i="27" s="1"/>
  <c r="A221" i="27"/>
  <c r="A226" i="27"/>
  <c r="A173" i="27"/>
  <c r="U242" i="27"/>
  <c r="U189" i="27"/>
  <c r="A222" i="27"/>
  <c r="U221" i="27"/>
  <c r="L228" i="27"/>
  <c r="M228" i="27" s="1"/>
  <c r="O164" i="27"/>
  <c r="A178" i="27"/>
  <c r="A205" i="27"/>
  <c r="U204" i="27"/>
  <c r="O160" i="27"/>
  <c r="A229" i="27"/>
  <c r="L167" i="27"/>
  <c r="M167" i="27" s="1"/>
  <c r="A239" i="27"/>
  <c r="L184" i="27"/>
  <c r="M184" i="27" s="1"/>
  <c r="O163" i="27"/>
  <c r="A198" i="27"/>
  <c r="A162" i="27"/>
  <c r="O216" i="27"/>
  <c r="O186" i="27"/>
  <c r="U235" i="27"/>
  <c r="N84" i="21"/>
  <c r="N104" i="21"/>
  <c r="N87" i="23"/>
  <c r="N86" i="21"/>
  <c r="N75" i="23"/>
  <c r="N98" i="21"/>
  <c r="N85" i="21"/>
  <c r="N95" i="21"/>
  <c r="N105" i="21"/>
  <c r="N110" i="21"/>
  <c r="N97" i="23"/>
  <c r="N102" i="23"/>
  <c r="N90" i="23"/>
  <c r="N76" i="23"/>
  <c r="N67" i="23"/>
  <c r="N79" i="23"/>
  <c r="L204" i="27"/>
  <c r="M204" i="27" s="1"/>
  <c r="U190" i="27"/>
  <c r="A177" i="27"/>
  <c r="N85" i="23"/>
  <c r="N91" i="21"/>
  <c r="N78" i="21"/>
  <c r="N83" i="23"/>
  <c r="N102" i="21"/>
  <c r="O231" i="27"/>
  <c r="O178" i="27"/>
  <c r="L190" i="27"/>
  <c r="M190" i="27" s="1"/>
  <c r="A209" i="27"/>
  <c r="A214" i="27"/>
  <c r="U230" i="27"/>
  <c r="U177" i="27"/>
  <c r="U228" i="27"/>
  <c r="L192" i="27"/>
  <c r="M192" i="27" s="1"/>
  <c r="O196" i="27"/>
  <c r="U212" i="27"/>
  <c r="O165" i="27"/>
  <c r="U183" i="27"/>
  <c r="U231" i="27"/>
  <c r="A196" i="27"/>
  <c r="O211" i="27"/>
  <c r="U213" i="27"/>
  <c r="A160" i="27"/>
  <c r="N79" i="21"/>
  <c r="N80" i="23"/>
  <c r="N103" i="21"/>
  <c r="N89" i="23"/>
  <c r="N68" i="23"/>
  <c r="N92" i="23"/>
  <c r="N77" i="21"/>
  <c r="N81" i="23"/>
  <c r="N75" i="21"/>
  <c r="N74" i="23"/>
  <c r="N86" i="23"/>
  <c r="N82" i="21"/>
  <c r="N92" i="21"/>
  <c r="N97" i="21"/>
  <c r="N70" i="23"/>
  <c r="O207" i="27"/>
  <c r="O235" i="27"/>
  <c r="U173" i="27"/>
  <c r="U207" i="27"/>
  <c r="U224" i="27"/>
  <c r="A232" i="27"/>
  <c r="A167" i="27"/>
  <c r="U170" i="27"/>
  <c r="N109" i="21"/>
  <c r="N77" i="23"/>
  <c r="N106" i="21"/>
  <c r="N100" i="23"/>
  <c r="N88" i="23"/>
  <c r="N95" i="23"/>
  <c r="N87" i="21"/>
  <c r="N90" i="21"/>
  <c r="O219" i="27"/>
  <c r="L231" i="27"/>
  <c r="M231" i="27" s="1"/>
  <c r="L178" i="27"/>
  <c r="M178" i="27" s="1"/>
  <c r="A192" i="27"/>
  <c r="A197" i="27"/>
  <c r="U218" i="27"/>
  <c r="U165" i="27"/>
  <c r="O192" i="27"/>
  <c r="U178" i="27"/>
  <c r="A174" i="27"/>
  <c r="O189" i="27"/>
  <c r="L221" i="27"/>
  <c r="M221" i="27" s="1"/>
  <c r="U240" i="27"/>
  <c r="L165" i="27"/>
  <c r="M165" i="27" s="1"/>
  <c r="O174" i="27"/>
  <c r="L173" i="27"/>
  <c r="M173" i="27" s="1"/>
  <c r="L216" i="27"/>
  <c r="M216" i="27" s="1"/>
  <c r="U175" i="27"/>
  <c r="U225" i="27"/>
  <c r="O242" i="27"/>
  <c r="U184" i="27"/>
  <c r="A166" i="27"/>
  <c r="O161" i="27"/>
  <c r="N101" i="23"/>
  <c r="N108" i="21"/>
  <c r="N76" i="21"/>
  <c r="N73" i="23"/>
  <c r="N66" i="23"/>
  <c r="N83" i="21"/>
  <c r="N104" i="23"/>
  <c r="N72" i="21"/>
  <c r="N80" i="21"/>
  <c r="N100" i="21"/>
  <c r="L219" i="27"/>
  <c r="M219" i="27" s="1"/>
  <c r="A233" i="27"/>
  <c r="A180" i="27"/>
  <c r="A238" i="27"/>
  <c r="A185" i="27"/>
  <c r="U206" i="27"/>
  <c r="L170" i="27"/>
  <c r="M170" i="27" s="1"/>
  <c r="A242" i="27"/>
  <c r="U185" i="27"/>
  <c r="U211" i="27"/>
  <c r="N99" i="23"/>
  <c r="H262" i="3"/>
  <c r="D267" i="5"/>
  <c r="L242" i="27" s="1"/>
  <c r="E267" i="5"/>
  <c r="M200" i="27" l="1"/>
  <c r="E268" i="5"/>
  <c r="D268" i="5"/>
  <c r="A269" i="5"/>
  <c r="N105" i="23" l="1"/>
  <c r="O243" i="27"/>
  <c r="L243" i="27"/>
  <c r="U243" i="27"/>
  <c r="A243" i="27"/>
  <c r="D269" i="5"/>
  <c r="A270" i="5"/>
  <c r="E269" i="5"/>
  <c r="D270" i="5" l="1"/>
  <c r="E270" i="5"/>
  <c r="A271" i="5"/>
  <c r="A272" i="5" s="1"/>
  <c r="A273" i="5" s="1"/>
  <c r="D272" i="5" l="1"/>
  <c r="E272" i="5"/>
  <c r="D271" i="5"/>
  <c r="E271" i="5"/>
  <c r="D273" i="5" l="1"/>
  <c r="A274" i="5"/>
  <c r="E273" i="5"/>
  <c r="A275" i="5" l="1"/>
  <c r="D274" i="5"/>
  <c r="E274" i="5"/>
  <c r="E275" i="5" l="1"/>
  <c r="D275" i="5"/>
  <c r="A276" i="5"/>
  <c r="D276" i="5" l="1"/>
  <c r="E276" i="5"/>
  <c r="A277" i="5"/>
  <c r="E277" i="5" l="1"/>
  <c r="D277" i="5"/>
  <c r="A278" i="5"/>
  <c r="E278" i="5" l="1"/>
  <c r="A279" i="5"/>
  <c r="D278" i="5"/>
  <c r="A280" i="5" l="1"/>
  <c r="D279" i="5"/>
  <c r="E279" i="5"/>
  <c r="E280" i="5" l="1"/>
  <c r="A281" i="5"/>
  <c r="D280" i="5"/>
  <c r="A282" i="5" l="1"/>
  <c r="D281" i="5"/>
  <c r="E281" i="5"/>
  <c r="D282" i="5" l="1"/>
  <c r="A283" i="5"/>
  <c r="E282" i="5"/>
  <c r="D283" i="5" l="1"/>
  <c r="A284" i="5"/>
  <c r="E283" i="5"/>
  <c r="E284" i="5" l="1"/>
  <c r="A285" i="5"/>
  <c r="D284" i="5"/>
  <c r="A286" i="5" l="1"/>
  <c r="D285" i="5"/>
  <c r="E285" i="5"/>
  <c r="A287" i="5" l="1"/>
  <c r="E286" i="5"/>
  <c r="D286" i="5"/>
  <c r="A288" i="5" l="1"/>
  <c r="E287" i="5"/>
  <c r="D287" i="5"/>
  <c r="A289" i="5" l="1"/>
  <c r="E288" i="5"/>
  <c r="D288" i="5"/>
  <c r="A290" i="5" l="1"/>
  <c r="D289" i="5"/>
  <c r="E289" i="5"/>
  <c r="A291" i="5" l="1"/>
  <c r="E290" i="5"/>
  <c r="D290" i="5"/>
  <c r="A292" i="5" l="1"/>
  <c r="E291" i="5"/>
  <c r="D291" i="5"/>
  <c r="D292" i="5" l="1"/>
  <c r="A293" i="5"/>
  <c r="E292" i="5"/>
  <c r="A294" i="5" l="1"/>
  <c r="E293" i="5"/>
  <c r="D293" i="5"/>
  <c r="A295" i="5" l="1"/>
  <c r="E294" i="5"/>
  <c r="D294" i="5"/>
  <c r="D295" i="5" l="1"/>
  <c r="E295" i="5"/>
  <c r="A296" i="5"/>
  <c r="E296" i="5" l="1"/>
  <c r="A297" i="5"/>
  <c r="D296" i="5"/>
  <c r="D297" i="5" l="1"/>
  <c r="A298" i="5"/>
  <c r="E297" i="5"/>
  <c r="E298" i="5" l="1"/>
  <c r="A299" i="5"/>
  <c r="D298" i="5"/>
  <c r="D299" i="5" l="1"/>
  <c r="E299" i="5"/>
  <c r="A300" i="5"/>
  <c r="E300" i="5" l="1"/>
  <c r="A301" i="5"/>
  <c r="D300" i="5"/>
  <c r="B96" i="23" l="1"/>
  <c r="B71" i="24"/>
  <c r="B78" i="24"/>
  <c r="B80" i="24"/>
  <c r="B108" i="23"/>
  <c r="B85" i="24"/>
  <c r="B105" i="23"/>
  <c r="B98" i="23"/>
  <c r="O22" i="24"/>
  <c r="O28" i="24"/>
  <c r="K99" i="23"/>
  <c r="D18" i="24"/>
  <c r="D72" i="24" s="1"/>
  <c r="K107" i="23"/>
  <c r="D52" i="23"/>
  <c r="D106" i="23" s="1"/>
  <c r="O46" i="23"/>
  <c r="O48" i="23"/>
  <c r="O23" i="24"/>
  <c r="O51" i="23"/>
  <c r="O53" i="23"/>
  <c r="O29" i="24"/>
  <c r="K85" i="24"/>
  <c r="D15" i="24"/>
  <c r="D69" i="24" s="1"/>
  <c r="D49" i="23"/>
  <c r="D103" i="23" s="1"/>
  <c r="D17" i="24"/>
  <c r="D71" i="24" s="1"/>
  <c r="O45" i="23"/>
  <c r="O32" i="24"/>
  <c r="O52" i="23"/>
  <c r="D24" i="24"/>
  <c r="D78" i="24" s="1"/>
  <c r="D29" i="24"/>
  <c r="D83" i="24" s="1"/>
  <c r="D46" i="23"/>
  <c r="D100" i="23" s="1"/>
  <c r="D54" i="23"/>
  <c r="D108" i="23" s="1"/>
  <c r="O19" i="24"/>
  <c r="K109" i="23"/>
  <c r="O17" i="24"/>
  <c r="K96" i="23"/>
  <c r="K78" i="24"/>
  <c r="K103" i="23"/>
  <c r="D23" i="24"/>
  <c r="D77" i="24" s="1"/>
  <c r="K81" i="24"/>
  <c r="K74" i="24"/>
  <c r="K106" i="23"/>
  <c r="O24" i="24"/>
  <c r="B103" i="23"/>
  <c r="B106" i="23"/>
  <c r="B82" i="24"/>
  <c r="B107" i="23"/>
  <c r="B99" i="23"/>
  <c r="B73" i="24"/>
  <c r="B109" i="23"/>
  <c r="B70" i="24"/>
  <c r="O31" i="24"/>
  <c r="O44" i="23"/>
  <c r="K82" i="24"/>
  <c r="D32" i="24"/>
  <c r="D86" i="24" s="1"/>
  <c r="K97" i="23"/>
  <c r="O20" i="24"/>
  <c r="O25" i="24"/>
  <c r="K80" i="24"/>
  <c r="K70" i="24"/>
  <c r="O14" i="24"/>
  <c r="K68" i="24"/>
  <c r="D12" i="24"/>
  <c r="D66" i="24" s="1"/>
  <c r="O15" i="24"/>
  <c r="K101" i="23"/>
  <c r="D48" i="23"/>
  <c r="D102" i="23" s="1"/>
  <c r="D16" i="24"/>
  <c r="D70" i="24" s="1"/>
  <c r="D25" i="24"/>
  <c r="D79" i="24" s="1"/>
  <c r="K75" i="24"/>
  <c r="K67" i="24"/>
  <c r="D19" i="24"/>
  <c r="D73" i="24" s="1"/>
  <c r="O27" i="24"/>
  <c r="D45" i="23"/>
  <c r="D99" i="23" s="1"/>
  <c r="B72" i="24"/>
  <c r="B84" i="24"/>
  <c r="B102" i="23"/>
  <c r="B76" i="24"/>
  <c r="B86" i="24"/>
  <c r="B104" i="23"/>
  <c r="B97" i="23"/>
  <c r="B66" i="24"/>
  <c r="B100" i="23"/>
  <c r="O18" i="24"/>
  <c r="O54" i="23"/>
  <c r="O55" i="23"/>
  <c r="D50" i="23"/>
  <c r="D104" i="23" s="1"/>
  <c r="O30" i="24"/>
  <c r="O42" i="23"/>
  <c r="O16" i="24"/>
  <c r="K77" i="24"/>
  <c r="O26" i="24"/>
  <c r="O12" i="24"/>
  <c r="O56" i="23"/>
  <c r="D56" i="23"/>
  <c r="D110" i="23" s="1"/>
  <c r="D31" i="24"/>
  <c r="D85" i="24" s="1"/>
  <c r="K102" i="23"/>
  <c r="K86" i="24"/>
  <c r="O47" i="23"/>
  <c r="K110" i="23"/>
  <c r="K72" i="24"/>
  <c r="K83" i="24"/>
  <c r="D33" i="24"/>
  <c r="D87" i="24" s="1"/>
  <c r="K76" i="24"/>
  <c r="D42" i="23"/>
  <c r="D96" i="23" s="1"/>
  <c r="D51" i="23"/>
  <c r="D105" i="23" s="1"/>
  <c r="K66" i="24"/>
  <c r="B79" i="24"/>
  <c r="B110" i="23"/>
  <c r="B101" i="23"/>
  <c r="B74" i="24"/>
  <c r="B69" i="24"/>
  <c r="B68" i="24"/>
  <c r="B83" i="24"/>
  <c r="B75" i="24"/>
  <c r="B81" i="24"/>
  <c r="B67" i="24"/>
  <c r="B77" i="24"/>
  <c r="K100" i="23"/>
  <c r="D30" i="24"/>
  <c r="D84" i="24" s="1"/>
  <c r="D20" i="24"/>
  <c r="D74" i="24" s="1"/>
  <c r="K79" i="24"/>
  <c r="K98" i="23"/>
  <c r="D28" i="24"/>
  <c r="D82" i="24" s="1"/>
  <c r="O13" i="24"/>
  <c r="D47" i="23"/>
  <c r="D101" i="23" s="1"/>
  <c r="D27" i="24"/>
  <c r="D81" i="24" s="1"/>
  <c r="D26" i="24"/>
  <c r="D80" i="24" s="1"/>
  <c r="O43" i="23"/>
  <c r="K73" i="24"/>
  <c r="D44" i="23"/>
  <c r="D98" i="23" s="1"/>
  <c r="K108" i="23"/>
  <c r="D21" i="24"/>
  <c r="D75" i="24" s="1"/>
  <c r="K84" i="24"/>
  <c r="K104" i="23"/>
  <c r="O49" i="23"/>
  <c r="D53" i="23"/>
  <c r="D107" i="23" s="1"/>
  <c r="D43" i="23"/>
  <c r="D97" i="23" s="1"/>
  <c r="D13" i="24"/>
  <c r="D67" i="24" s="1"/>
  <c r="D55" i="23"/>
  <c r="D109" i="23" s="1"/>
  <c r="O21" i="24"/>
  <c r="D14" i="24"/>
  <c r="D68" i="24" s="1"/>
  <c r="K105" i="23"/>
  <c r="K69" i="24"/>
  <c r="D22" i="24"/>
  <c r="D76" i="24" s="1"/>
  <c r="O50" i="23"/>
  <c r="K71" i="24"/>
  <c r="E301" i="5"/>
  <c r="D301" i="5"/>
  <c r="A302" i="5"/>
  <c r="O33" i="24" s="1"/>
  <c r="O87" i="24" l="1"/>
  <c r="I275" i="27"/>
  <c r="O68" i="24"/>
  <c r="I256" i="27"/>
  <c r="O78" i="24"/>
  <c r="I266" i="27"/>
  <c r="O71" i="24"/>
  <c r="I259" i="27"/>
  <c r="O86" i="24"/>
  <c r="I274" i="27"/>
  <c r="I240" i="27"/>
  <c r="O102" i="23"/>
  <c r="O76" i="24"/>
  <c r="I264" i="27"/>
  <c r="O104" i="23"/>
  <c r="I242" i="27"/>
  <c r="O75" i="24"/>
  <c r="I263" i="27"/>
  <c r="O67" i="24"/>
  <c r="I255" i="27"/>
  <c r="I268" i="27"/>
  <c r="O80" i="24"/>
  <c r="O84" i="24"/>
  <c r="I272" i="27"/>
  <c r="O79" i="24"/>
  <c r="I267" i="27"/>
  <c r="I237" i="27"/>
  <c r="O99" i="23"/>
  <c r="I243" i="27"/>
  <c r="O105" i="23"/>
  <c r="I238" i="27"/>
  <c r="O100" i="23"/>
  <c r="O103" i="23"/>
  <c r="I241" i="27"/>
  <c r="I248" i="27"/>
  <c r="O110" i="23"/>
  <c r="O70" i="24"/>
  <c r="I258" i="27"/>
  <c r="O109" i="23"/>
  <c r="I247" i="27"/>
  <c r="O72" i="24"/>
  <c r="I260" i="27"/>
  <c r="I269" i="27"/>
  <c r="O81" i="24"/>
  <c r="O74" i="24"/>
  <c r="I262" i="27"/>
  <c r="I244" i="27"/>
  <c r="O106" i="23"/>
  <c r="O77" i="24"/>
  <c r="I265" i="27"/>
  <c r="O82" i="24"/>
  <c r="I270" i="27"/>
  <c r="O97" i="23"/>
  <c r="I235" i="27"/>
  <c r="O101" i="23"/>
  <c r="I239" i="27"/>
  <c r="I246" i="27"/>
  <c r="O108" i="23"/>
  <c r="K87" i="24"/>
  <c r="O73" i="24"/>
  <c r="I261" i="27"/>
  <c r="I271" i="27"/>
  <c r="O83" i="24"/>
  <c r="O66" i="24"/>
  <c r="I254" i="27"/>
  <c r="J254" i="27" s="1"/>
  <c r="K254" i="27" s="1"/>
  <c r="O96" i="23"/>
  <c r="I234" i="27"/>
  <c r="I257" i="27"/>
  <c r="O69" i="24"/>
  <c r="O98" i="23"/>
  <c r="I236" i="27"/>
  <c r="O85" i="24"/>
  <c r="I273" i="27"/>
  <c r="O107" i="23"/>
  <c r="I245" i="27"/>
  <c r="D302" i="5"/>
  <c r="E302" i="5"/>
  <c r="A303" i="5"/>
  <c r="J239" i="27" l="1"/>
  <c r="K239" i="27" s="1"/>
  <c r="J235" i="27"/>
  <c r="K235" i="27" s="1"/>
  <c r="J266" i="27"/>
  <c r="K266" i="27" s="1"/>
  <c r="J261" i="27"/>
  <c r="K261" i="27" s="1"/>
  <c r="J243" i="27"/>
  <c r="K243" i="27" s="1"/>
  <c r="J268" i="27"/>
  <c r="K268" i="27" s="1"/>
  <c r="J242" i="27"/>
  <c r="K242" i="27" s="1"/>
  <c r="J272" i="27"/>
  <c r="K272" i="27" s="1"/>
  <c r="J244" i="27"/>
  <c r="K244" i="27" s="1"/>
  <c r="J262" i="27"/>
  <c r="K262" i="27" s="1"/>
  <c r="J257" i="27"/>
  <c r="K257" i="27" s="1"/>
  <c r="J238" i="27"/>
  <c r="K238" i="27" s="1"/>
  <c r="J256" i="27"/>
  <c r="K256" i="27" s="1"/>
  <c r="J245" i="27"/>
  <c r="K245" i="27" s="1"/>
  <c r="J234" i="27"/>
  <c r="K234" i="27" s="1"/>
  <c r="J269" i="27"/>
  <c r="K269" i="27" s="1"/>
  <c r="J248" i="27"/>
  <c r="J237" i="27"/>
  <c r="K237" i="27" s="1"/>
  <c r="J240" i="27"/>
  <c r="K240" i="27" s="1"/>
  <c r="J264" i="27"/>
  <c r="K264" i="27" s="1"/>
  <c r="J267" i="27"/>
  <c r="K267" i="27" s="1"/>
  <c r="J263" i="27"/>
  <c r="K263" i="27" s="1"/>
  <c r="J258" i="27"/>
  <c r="K258" i="27" s="1"/>
  <c r="J270" i="27"/>
  <c r="K270" i="27" s="1"/>
  <c r="J255" i="27"/>
  <c r="K255" i="27" s="1"/>
  <c r="J265" i="27"/>
  <c r="K265" i="27" s="1"/>
  <c r="J260" i="27"/>
  <c r="K260" i="27" s="1"/>
  <c r="J241" i="27"/>
  <c r="K241" i="27" s="1"/>
  <c r="J274" i="27"/>
  <c r="K274" i="27" s="1"/>
  <c r="J275" i="27"/>
  <c r="K275" i="27" s="1"/>
  <c r="J247" i="27"/>
  <c r="K247" i="27" s="1"/>
  <c r="J259" i="27"/>
  <c r="K259" i="27" s="1"/>
  <c r="J236" i="27"/>
  <c r="K236" i="27" s="1"/>
  <c r="J271" i="27"/>
  <c r="K271" i="27" s="1"/>
  <c r="J273" i="27"/>
  <c r="K273" i="27" s="1"/>
  <c r="J246" i="27"/>
  <c r="K246" i="27" s="1"/>
  <c r="D303" i="5"/>
  <c r="A304" i="5"/>
  <c r="E303" i="5"/>
  <c r="M237" i="27" l="1"/>
  <c r="M241" i="27"/>
  <c r="M242" i="27"/>
  <c r="M243" i="27"/>
  <c r="M240" i="27"/>
  <c r="M236" i="27"/>
  <c r="M238" i="27"/>
  <c r="M235" i="27"/>
  <c r="M239" i="27"/>
  <c r="M234" i="27"/>
  <c r="K248" i="27"/>
  <c r="D304" i="5"/>
  <c r="E304" i="5"/>
  <c r="A305" i="5"/>
  <c r="K250" i="27" l="1"/>
  <c r="D305" i="5"/>
  <c r="E305" i="5"/>
  <c r="A306" i="5"/>
  <c r="D306" i="5" l="1"/>
  <c r="E306" i="5"/>
  <c r="A307" i="5"/>
  <c r="D307" i="5" l="1"/>
  <c r="A308" i="5"/>
  <c r="E307" i="5"/>
  <c r="A309" i="5" l="1"/>
  <c r="E308" i="5"/>
  <c r="D308" i="5"/>
  <c r="A310" i="5" l="1"/>
  <c r="D309" i="5"/>
  <c r="E309" i="5"/>
  <c r="E310" i="5" l="1"/>
  <c r="A311" i="5"/>
  <c r="D310" i="5"/>
  <c r="D311" i="5" l="1"/>
  <c r="E311" i="5"/>
  <c r="A312" i="5"/>
  <c r="U258" i="27" l="1"/>
  <c r="O282" i="27"/>
  <c r="O263" i="27"/>
  <c r="L278" i="27"/>
  <c r="O265" i="27"/>
  <c r="U285" i="27"/>
  <c r="A265" i="27"/>
  <c r="U260" i="27"/>
  <c r="A260" i="27"/>
  <c r="L263" i="27"/>
  <c r="M263" i="27" s="1"/>
  <c r="U279" i="27"/>
  <c r="N94" i="24"/>
  <c r="N96" i="24"/>
  <c r="N69" i="24"/>
  <c r="A276" i="27"/>
  <c r="U246" i="27"/>
  <c r="L277" i="27"/>
  <c r="L270" i="27"/>
  <c r="M270" i="27" s="1"/>
  <c r="O261" i="27"/>
  <c r="L244" i="27"/>
  <c r="M244" i="27" s="1"/>
  <c r="A283" i="27"/>
  <c r="A281" i="27"/>
  <c r="O270" i="27"/>
  <c r="O246" i="27"/>
  <c r="L280" i="27"/>
  <c r="O276" i="27"/>
  <c r="U262" i="27"/>
  <c r="A258" i="27"/>
  <c r="U274" i="27"/>
  <c r="O279" i="27"/>
  <c r="A266" i="27"/>
  <c r="L279" i="27"/>
  <c r="O248" i="27"/>
  <c r="U280" i="27"/>
  <c r="U273" i="27"/>
  <c r="A248" i="27"/>
  <c r="O274" i="27"/>
  <c r="O262" i="27"/>
  <c r="O283" i="27"/>
  <c r="L266" i="27"/>
  <c r="M266" i="27" s="1"/>
  <c r="A244" i="27"/>
  <c r="L254" i="27"/>
  <c r="M254" i="27" s="1"/>
  <c r="N87" i="24"/>
  <c r="N108" i="23"/>
  <c r="A264" i="27"/>
  <c r="L265" i="27"/>
  <c r="M265" i="27" s="1"/>
  <c r="L258" i="27"/>
  <c r="M258" i="27" s="1"/>
  <c r="O244" i="27"/>
  <c r="U269" i="27"/>
  <c r="L276" i="27"/>
  <c r="L269" i="27"/>
  <c r="M269" i="27" s="1"/>
  <c r="L273" i="27"/>
  <c r="M273" i="27" s="1"/>
  <c r="A280" i="27"/>
  <c r="L260" i="27"/>
  <c r="M260" i="27" s="1"/>
  <c r="A279" i="27"/>
  <c r="L264" i="27"/>
  <c r="M264" i="27" s="1"/>
  <c r="N71" i="24"/>
  <c r="U282" i="27"/>
  <c r="A269" i="27"/>
  <c r="O258" i="27"/>
  <c r="L268" i="27"/>
  <c r="M268" i="27" s="1"/>
  <c r="A263" i="27"/>
  <c r="L262" i="27"/>
  <c r="M262" i="27" s="1"/>
  <c r="O256" i="27"/>
  <c r="A259" i="27"/>
  <c r="L261" i="27"/>
  <c r="M261" i="27" s="1"/>
  <c r="U247" i="27"/>
  <c r="N77" i="24"/>
  <c r="L267" i="27"/>
  <c r="M267" i="27" s="1"/>
  <c r="U268" i="27"/>
  <c r="U261" i="27"/>
  <c r="O278" i="27"/>
  <c r="O271" i="27"/>
  <c r="A284" i="27"/>
  <c r="L275" i="27"/>
  <c r="M275" i="27" s="1"/>
  <c r="O245" i="27"/>
  <c r="A247" i="27"/>
  <c r="U275" i="27"/>
  <c r="L248" i="27"/>
  <c r="M248" i="27" s="1"/>
  <c r="O285" i="27"/>
  <c r="A254" i="27"/>
  <c r="U248" i="27"/>
  <c r="O255" i="27"/>
  <c r="U254" i="27"/>
  <c r="O257" i="27"/>
  <c r="O264" i="27"/>
  <c r="O247" i="27"/>
  <c r="N89" i="24"/>
  <c r="O281" i="27"/>
  <c r="U277" i="27"/>
  <c r="N66" i="24"/>
  <c r="A262" i="27"/>
  <c r="U283" i="27"/>
  <c r="L285" i="27"/>
  <c r="O280" i="27"/>
  <c r="O266" i="27"/>
  <c r="U265" i="27"/>
  <c r="N75" i="24"/>
  <c r="N76" i="24"/>
  <c r="N73" i="24"/>
  <c r="L284" i="27"/>
  <c r="A245" i="27"/>
  <c r="A270" i="27"/>
  <c r="O254" i="27"/>
  <c r="N82" i="24"/>
  <c r="N83" i="24"/>
  <c r="L271" i="27"/>
  <c r="M271" i="27" s="1"/>
  <c r="L281" i="27"/>
  <c r="N84" i="24"/>
  <c r="N70" i="24"/>
  <c r="O284" i="27"/>
  <c r="N81" i="24"/>
  <c r="A275" i="27"/>
  <c r="U276" i="27"/>
  <c r="A271" i="27"/>
  <c r="L272" i="27"/>
  <c r="M272" i="27" s="1"/>
  <c r="A268" i="27"/>
  <c r="A255" i="27"/>
  <c r="O269" i="27"/>
  <c r="L245" i="27"/>
  <c r="M245" i="27" s="1"/>
  <c r="U270" i="27"/>
  <c r="A257" i="27"/>
  <c r="O275" i="27"/>
  <c r="L256" i="27"/>
  <c r="M256" i="27" s="1"/>
  <c r="U278" i="27"/>
  <c r="U267" i="27"/>
  <c r="O268" i="27"/>
  <c r="N80" i="24"/>
  <c r="N79" i="24"/>
  <c r="N93" i="24"/>
  <c r="L255" i="27"/>
  <c r="M255" i="27" s="1"/>
  <c r="O277" i="27"/>
  <c r="U256" i="27"/>
  <c r="U244" i="27"/>
  <c r="A277" i="27"/>
  <c r="L274" i="27"/>
  <c r="M274" i="27" s="1"/>
  <c r="A256" i="27"/>
  <c r="U255" i="27"/>
  <c r="U284" i="27"/>
  <c r="U245" i="27"/>
  <c r="U281" i="27"/>
  <c r="A285" i="27"/>
  <c r="N68" i="24"/>
  <c r="N74" i="24"/>
  <c r="N67" i="24"/>
  <c r="N78" i="24"/>
  <c r="U263" i="27"/>
  <c r="L282" i="27"/>
  <c r="O273" i="27"/>
  <c r="A272" i="27"/>
  <c r="L259" i="27"/>
  <c r="M259" i="27" s="1"/>
  <c r="U266" i="27"/>
  <c r="U257" i="27"/>
  <c r="A274" i="27"/>
  <c r="A261" i="27"/>
  <c r="L247" i="27"/>
  <c r="M247" i="27" s="1"/>
  <c r="A278" i="27"/>
  <c r="N88" i="24"/>
  <c r="A282" i="27"/>
  <c r="N97" i="24"/>
  <c r="O260" i="27"/>
  <c r="L246" i="27"/>
  <c r="M246" i="27" s="1"/>
  <c r="L257" i="27"/>
  <c r="M257" i="27" s="1"/>
  <c r="U271" i="27"/>
  <c r="O267" i="27"/>
  <c r="U264" i="27"/>
  <c r="O259" i="27"/>
  <c r="N107" i="23"/>
  <c r="N90" i="24"/>
  <c r="N106" i="23"/>
  <c r="U272" i="27"/>
  <c r="A267" i="27"/>
  <c r="A246" i="27"/>
  <c r="N92" i="24"/>
  <c r="N72" i="24"/>
  <c r="N95" i="24"/>
  <c r="U259" i="27"/>
  <c r="O272" i="27"/>
  <c r="N110" i="23"/>
  <c r="N86" i="24"/>
  <c r="N91" i="24"/>
  <c r="L283" i="27"/>
  <c r="N85" i="24"/>
  <c r="A273" i="27"/>
  <c r="N109" i="23"/>
  <c r="D312" i="5"/>
  <c r="E312" i="5"/>
  <c r="A313" i="5"/>
  <c r="O286" i="27" s="1"/>
  <c r="M250" i="27" l="1"/>
  <c r="N98" i="24"/>
  <c r="A286" i="27"/>
  <c r="L286" i="27"/>
  <c r="U286" i="27"/>
  <c r="A314" i="5"/>
  <c r="D313" i="5"/>
  <c r="E313" i="5"/>
  <c r="A315" i="5" l="1"/>
  <c r="D314" i="5"/>
  <c r="E314" i="5"/>
  <c r="A316" i="5" l="1"/>
  <c r="E315" i="5"/>
  <c r="D315" i="5"/>
  <c r="A317" i="5" l="1"/>
  <c r="A318" i="5" s="1"/>
  <c r="A319" i="5" s="1"/>
  <c r="E316" i="5"/>
  <c r="D316" i="5"/>
  <c r="D318" i="5" l="1"/>
  <c r="E318" i="5"/>
  <c r="E317" i="5"/>
  <c r="D317" i="5"/>
  <c r="D319" i="5" l="1"/>
  <c r="A320" i="5"/>
  <c r="E319" i="5"/>
  <c r="E320" i="5" l="1"/>
  <c r="A321" i="5"/>
  <c r="D320" i="5"/>
  <c r="E321" i="5" l="1"/>
  <c r="A322" i="5"/>
  <c r="D321" i="5"/>
  <c r="K92" i="24" l="1"/>
  <c r="K89" i="24"/>
  <c r="K99" i="24"/>
  <c r="O41" i="24"/>
  <c r="D50" i="24"/>
  <c r="D104" i="24" s="1"/>
  <c r="D49" i="24"/>
  <c r="D103" i="24" s="1"/>
  <c r="B96" i="24"/>
  <c r="B103" i="24"/>
  <c r="O46" i="24"/>
  <c r="D34" i="24"/>
  <c r="D88" i="24" s="1"/>
  <c r="D42" i="24"/>
  <c r="D96" i="24" s="1"/>
  <c r="B102" i="24"/>
  <c r="O49" i="24"/>
  <c r="O45" i="24"/>
  <c r="O38" i="24"/>
  <c r="D35" i="24"/>
  <c r="D89" i="24" s="1"/>
  <c r="D46" i="24"/>
  <c r="D100" i="24" s="1"/>
  <c r="K101" i="24"/>
  <c r="O37" i="24"/>
  <c r="O40" i="24"/>
  <c r="D44" i="24"/>
  <c r="D98" i="24" s="1"/>
  <c r="B93" i="24"/>
  <c r="B100" i="24"/>
  <c r="D51" i="24"/>
  <c r="D105" i="24" s="1"/>
  <c r="K96" i="24"/>
  <c r="D48" i="24"/>
  <c r="D102" i="24" s="1"/>
  <c r="O47" i="24"/>
  <c r="B99" i="24"/>
  <c r="B94" i="24"/>
  <c r="B90" i="24"/>
  <c r="D45" i="24"/>
  <c r="D99" i="24" s="1"/>
  <c r="O36" i="24"/>
  <c r="K91" i="24"/>
  <c r="K105" i="24"/>
  <c r="O51" i="24"/>
  <c r="K103" i="24"/>
  <c r="D38" i="24"/>
  <c r="D92" i="24" s="1"/>
  <c r="K97" i="24"/>
  <c r="D47" i="24"/>
  <c r="D101" i="24" s="1"/>
  <c r="O43" i="24"/>
  <c r="O48" i="24"/>
  <c r="K95" i="24"/>
  <c r="O44" i="24"/>
  <c r="K102" i="24"/>
  <c r="K100" i="24"/>
  <c r="D40" i="24"/>
  <c r="D94" i="24" s="1"/>
  <c r="B104" i="24"/>
  <c r="D36" i="24"/>
  <c r="D90" i="24" s="1"/>
  <c r="B95" i="24"/>
  <c r="O34" i="24"/>
  <c r="B98" i="24"/>
  <c r="O50" i="24"/>
  <c r="K98" i="24"/>
  <c r="D41" i="24"/>
  <c r="D95" i="24" s="1"/>
  <c r="K104" i="24"/>
  <c r="D39" i="24"/>
  <c r="D93" i="24" s="1"/>
  <c r="K90" i="24"/>
  <c r="K88" i="24"/>
  <c r="B97" i="24"/>
  <c r="O42" i="24"/>
  <c r="D37" i="24"/>
  <c r="D91" i="24" s="1"/>
  <c r="K94" i="24"/>
  <c r="K93" i="24"/>
  <c r="O39" i="24"/>
  <c r="D43" i="24"/>
  <c r="D97" i="24" s="1"/>
  <c r="O35" i="24"/>
  <c r="D322" i="5"/>
  <c r="A323" i="5"/>
  <c r="D52" i="24" s="1"/>
  <c r="D106" i="24" s="1"/>
  <c r="E322" i="5"/>
  <c r="I281" i="27" l="1"/>
  <c r="O93" i="24"/>
  <c r="O96" i="24"/>
  <c r="I284" i="27"/>
  <c r="I290" i="27"/>
  <c r="O102" i="24"/>
  <c r="O105" i="24"/>
  <c r="I293" i="27"/>
  <c r="O94" i="24"/>
  <c r="I282" i="27"/>
  <c r="O100" i="24"/>
  <c r="I288" i="27"/>
  <c r="I286" i="27"/>
  <c r="O98" i="24"/>
  <c r="K106" i="24"/>
  <c r="O101" i="24"/>
  <c r="I289" i="27"/>
  <c r="O52" i="24"/>
  <c r="O92" i="24"/>
  <c r="I280" i="27"/>
  <c r="O89" i="24"/>
  <c r="I277" i="27"/>
  <c r="O104" i="24"/>
  <c r="I292" i="27"/>
  <c r="I276" i="27"/>
  <c r="O88" i="24"/>
  <c r="I279" i="27"/>
  <c r="O91" i="24"/>
  <c r="O103" i="24"/>
  <c r="I291" i="27"/>
  <c r="I283" i="27"/>
  <c r="O95" i="24"/>
  <c r="O97" i="24"/>
  <c r="I285" i="27"/>
  <c r="O90" i="24"/>
  <c r="I278" i="27"/>
  <c r="I287" i="27"/>
  <c r="O99" i="24"/>
  <c r="A324" i="5"/>
  <c r="D323" i="5"/>
  <c r="E323" i="5"/>
  <c r="J293" i="27" l="1"/>
  <c r="K293" i="27" s="1"/>
  <c r="J286" i="27"/>
  <c r="K286" i="27" s="1"/>
  <c r="J280" i="27"/>
  <c r="K280" i="27" s="1"/>
  <c r="J284" i="27"/>
  <c r="K284" i="27" s="1"/>
  <c r="J283" i="27"/>
  <c r="K283" i="27" s="1"/>
  <c r="J291" i="27"/>
  <c r="K291" i="27" s="1"/>
  <c r="J288" i="27"/>
  <c r="J276" i="27"/>
  <c r="J292" i="27"/>
  <c r="K292" i="27" s="1"/>
  <c r="J282" i="27"/>
  <c r="K282" i="27" s="1"/>
  <c r="J277" i="27"/>
  <c r="K277" i="27" s="1"/>
  <c r="J287" i="27"/>
  <c r="K287" i="27" s="1"/>
  <c r="J278" i="27"/>
  <c r="K278" i="27" s="1"/>
  <c r="J279" i="27"/>
  <c r="K279" i="27" s="1"/>
  <c r="J290" i="27"/>
  <c r="K290" i="27" s="1"/>
  <c r="J285" i="27"/>
  <c r="K285" i="27" s="1"/>
  <c r="J289" i="27"/>
  <c r="K289" i="27" s="1"/>
  <c r="J281" i="27"/>
  <c r="K281" i="27" s="1"/>
  <c r="O106" i="24"/>
  <c r="I294" i="27"/>
  <c r="A325" i="5"/>
  <c r="D324" i="5"/>
  <c r="E324" i="5"/>
  <c r="K288" i="27" l="1"/>
  <c r="M284" i="27"/>
  <c r="M277" i="27"/>
  <c r="M280" i="27"/>
  <c r="M281" i="27"/>
  <c r="M283" i="27"/>
  <c r="M285" i="27"/>
  <c r="M279" i="27"/>
  <c r="M286" i="27"/>
  <c r="M282" i="27"/>
  <c r="M278" i="27"/>
  <c r="J294" i="27"/>
  <c r="K294" i="27" s="1"/>
  <c r="K276" i="27"/>
  <c r="D325" i="5"/>
  <c r="E325" i="5"/>
  <c r="A326" i="5"/>
  <c r="M276" i="27" l="1"/>
  <c r="A327" i="5"/>
  <c r="A328" i="5" s="1"/>
  <c r="A329" i="5" s="1"/>
  <c r="D326" i="5"/>
  <c r="E326" i="5"/>
  <c r="D328" i="5" l="1"/>
  <c r="E328" i="5"/>
  <c r="A330" i="5"/>
  <c r="A331" i="5" s="1"/>
  <c r="E327" i="5"/>
  <c r="D327" i="5"/>
  <c r="D330" i="5" l="1"/>
  <c r="E330" i="5"/>
  <c r="D329" i="5"/>
  <c r="E329" i="5"/>
  <c r="A332" i="5" l="1"/>
  <c r="E331" i="5"/>
  <c r="D331" i="5"/>
  <c r="A333" i="5" l="1"/>
  <c r="E332" i="5"/>
  <c r="D332" i="5"/>
  <c r="B107" i="24" l="1"/>
  <c r="K110" i="24"/>
  <c r="O53" i="24"/>
  <c r="D12" i="25"/>
  <c r="D66" i="25" s="1"/>
  <c r="D54" i="24"/>
  <c r="D108" i="24" s="1"/>
  <c r="D13" i="25"/>
  <c r="D67" i="25" s="1"/>
  <c r="O56" i="24"/>
  <c r="O54" i="24"/>
  <c r="D56" i="24"/>
  <c r="D110" i="24" s="1"/>
  <c r="K107" i="24"/>
  <c r="K109" i="24"/>
  <c r="O12" i="25"/>
  <c r="D53" i="24"/>
  <c r="D107" i="24" s="1"/>
  <c r="K108" i="24"/>
  <c r="K66" i="25"/>
  <c r="O55" i="24"/>
  <c r="O13" i="25"/>
  <c r="D55" i="24"/>
  <c r="D109" i="24" s="1"/>
  <c r="A334" i="5"/>
  <c r="E333" i="5"/>
  <c r="D333" i="5"/>
  <c r="I305" i="27" l="1"/>
  <c r="O67" i="25"/>
  <c r="L291" i="27"/>
  <c r="M291" i="27" s="1"/>
  <c r="A297" i="27"/>
  <c r="U294" i="27"/>
  <c r="U298" i="27"/>
  <c r="U287" i="27"/>
  <c r="O297" i="27"/>
  <c r="O296" i="27"/>
  <c r="N104" i="24"/>
  <c r="N99" i="24"/>
  <c r="N102" i="24"/>
  <c r="L290" i="27"/>
  <c r="M290" i="27" s="1"/>
  <c r="L294" i="27"/>
  <c r="M294" i="27" s="1"/>
  <c r="U295" i="27"/>
  <c r="O290" i="27"/>
  <c r="N110" i="24"/>
  <c r="A288" i="27"/>
  <c r="L288" i="27"/>
  <c r="M288" i="27" s="1"/>
  <c r="U293" i="27"/>
  <c r="N100" i="24"/>
  <c r="N67" i="25"/>
  <c r="N101" i="24"/>
  <c r="A296" i="27"/>
  <c r="N107" i="24"/>
  <c r="A295" i="27"/>
  <c r="O287" i="27"/>
  <c r="O291" i="27"/>
  <c r="N109" i="24"/>
  <c r="U288" i="27"/>
  <c r="A294" i="27"/>
  <c r="L292" i="27"/>
  <c r="M292" i="27" s="1"/>
  <c r="O305" i="27"/>
  <c r="L304" i="27"/>
  <c r="A287" i="27"/>
  <c r="A306" i="27"/>
  <c r="U289" i="27"/>
  <c r="N103" i="24"/>
  <c r="N106" i="24"/>
  <c r="O288" i="27"/>
  <c r="L293" i="27"/>
  <c r="M293" i="27" s="1"/>
  <c r="U291" i="27"/>
  <c r="A291" i="27"/>
  <c r="O298" i="27"/>
  <c r="A290" i="27"/>
  <c r="L287" i="27"/>
  <c r="M287" i="27" s="1"/>
  <c r="O292" i="27"/>
  <c r="A305" i="27"/>
  <c r="N66" i="25"/>
  <c r="U297" i="27"/>
  <c r="O293" i="27"/>
  <c r="A293" i="27"/>
  <c r="U292" i="27"/>
  <c r="U304" i="27"/>
  <c r="A292" i="27"/>
  <c r="N105" i="24"/>
  <c r="O289" i="27"/>
  <c r="A289" i="27"/>
  <c r="L298" i="27"/>
  <c r="L306" i="27"/>
  <c r="U296" i="27"/>
  <c r="U290" i="27"/>
  <c r="L297" i="27"/>
  <c r="L295" i="27"/>
  <c r="A298" i="27"/>
  <c r="O295" i="27"/>
  <c r="L289" i="27"/>
  <c r="M289" i="27" s="1"/>
  <c r="U305" i="27"/>
  <c r="L305" i="27"/>
  <c r="L296" i="27"/>
  <c r="N108" i="24"/>
  <c r="O304" i="27"/>
  <c r="A304" i="27"/>
  <c r="O294" i="27"/>
  <c r="K67" i="25"/>
  <c r="I297" i="27"/>
  <c r="O109" i="24"/>
  <c r="O108" i="24"/>
  <c r="I296" i="27"/>
  <c r="O107" i="24"/>
  <c r="I295" i="27"/>
  <c r="O66" i="25"/>
  <c r="I304" i="27"/>
  <c r="J304" i="27" s="1"/>
  <c r="K304" i="27" s="1"/>
  <c r="O110" i="24"/>
  <c r="I298" i="27"/>
  <c r="D334" i="5"/>
  <c r="E334" i="5"/>
  <c r="A335" i="5"/>
  <c r="N68" i="25" s="1"/>
  <c r="J296" i="27" l="1"/>
  <c r="K296" i="27" s="1"/>
  <c r="J298" i="27"/>
  <c r="K298" i="27" s="1"/>
  <c r="J297" i="27"/>
  <c r="K297" i="27" s="1"/>
  <c r="J295" i="27"/>
  <c r="J305" i="27"/>
  <c r="K305" i="27" s="1"/>
  <c r="O306" i="27"/>
  <c r="U306" i="27"/>
  <c r="M304" i="27"/>
  <c r="E335" i="5"/>
  <c r="A336" i="5"/>
  <c r="A337" i="5" s="1"/>
  <c r="A338" i="5" s="1"/>
  <c r="D335" i="5"/>
  <c r="K295" i="27" l="1"/>
  <c r="K300" i="27" s="1"/>
  <c r="M305" i="27"/>
  <c r="M298" i="27"/>
  <c r="M297" i="27"/>
  <c r="M296" i="27"/>
  <c r="D16" i="25"/>
  <c r="D70" i="25" s="1"/>
  <c r="K68" i="25"/>
  <c r="D14" i="25"/>
  <c r="D68" i="25" s="1"/>
  <c r="O16" i="25"/>
  <c r="O14" i="25"/>
  <c r="K70" i="25"/>
  <c r="D15" i="25"/>
  <c r="D69" i="25" s="1"/>
  <c r="K69" i="25"/>
  <c r="O15" i="25"/>
  <c r="D337" i="5"/>
  <c r="E337" i="5"/>
  <c r="D336" i="5"/>
  <c r="E336" i="5"/>
  <c r="M295" i="27" l="1"/>
  <c r="M300" i="27" s="1"/>
  <c r="O69" i="25"/>
  <c r="I307" i="27"/>
  <c r="I306" i="27"/>
  <c r="O68" i="25"/>
  <c r="I308" i="27"/>
  <c r="O70" i="25"/>
  <c r="E338" i="5"/>
  <c r="A339" i="5"/>
  <c r="D338" i="5"/>
  <c r="J308" i="27" l="1"/>
  <c r="K308" i="27" s="1"/>
  <c r="J306" i="27"/>
  <c r="J307" i="27"/>
  <c r="K307" i="27" s="1"/>
  <c r="E339" i="5"/>
  <c r="A340" i="5"/>
  <c r="D339" i="5"/>
  <c r="K306" i="27" l="1"/>
  <c r="M306" i="27" s="1"/>
  <c r="E340" i="5"/>
  <c r="D340" i="5"/>
  <c r="A341" i="5"/>
  <c r="A342" i="5" l="1"/>
  <c r="D341" i="5"/>
  <c r="E341" i="5"/>
  <c r="E342" i="5" l="1"/>
  <c r="A343" i="5"/>
  <c r="D342" i="5"/>
  <c r="B88" i="24" l="1"/>
  <c r="B73" i="25"/>
  <c r="B101" i="24"/>
  <c r="B87" i="24"/>
  <c r="B68" i="25"/>
  <c r="B89" i="24"/>
  <c r="B108" i="24"/>
  <c r="B67" i="25"/>
  <c r="B91" i="24"/>
  <c r="B105" i="24"/>
  <c r="B71" i="25"/>
  <c r="B92" i="24"/>
  <c r="B110" i="24"/>
  <c r="B106" i="24"/>
  <c r="B74" i="25"/>
  <c r="B70" i="25"/>
  <c r="B109" i="24"/>
  <c r="B66" i="25"/>
  <c r="B69" i="25"/>
  <c r="B76" i="25"/>
  <c r="B72" i="25"/>
  <c r="B75" i="25"/>
  <c r="K74" i="25"/>
  <c r="O17" i="25"/>
  <c r="O18" i="25"/>
  <c r="K75" i="25"/>
  <c r="D20" i="25"/>
  <c r="D74" i="25" s="1"/>
  <c r="K73" i="25"/>
  <c r="D18" i="25"/>
  <c r="D72" i="25" s="1"/>
  <c r="K71" i="25"/>
  <c r="K72" i="25"/>
  <c r="D21" i="25"/>
  <c r="D75" i="25" s="1"/>
  <c r="O19" i="25"/>
  <c r="O22" i="25"/>
  <c r="D19" i="25"/>
  <c r="D73" i="25" s="1"/>
  <c r="D17" i="25"/>
  <c r="D71" i="25" s="1"/>
  <c r="D22" i="25"/>
  <c r="D76" i="25" s="1"/>
  <c r="O20" i="25"/>
  <c r="O21" i="25"/>
  <c r="K80" i="18"/>
  <c r="K104" i="11"/>
  <c r="D31" i="11"/>
  <c r="D85" i="11" s="1"/>
  <c r="K93" i="11"/>
  <c r="K84" i="11"/>
  <c r="K95" i="11"/>
  <c r="K69" i="11"/>
  <c r="D30" i="11"/>
  <c r="D84" i="11" s="1"/>
  <c r="K105" i="17"/>
  <c r="K86" i="11"/>
  <c r="D32" i="11"/>
  <c r="D86" i="11" s="1"/>
  <c r="D38" i="11"/>
  <c r="D92" i="11" s="1"/>
  <c r="K99" i="18"/>
  <c r="K81" i="18"/>
  <c r="K90" i="18"/>
  <c r="K96" i="11"/>
  <c r="D22" i="18"/>
  <c r="D76" i="18" s="1"/>
  <c r="D32" i="17"/>
  <c r="D86" i="17" s="1"/>
  <c r="D15" i="11"/>
  <c r="D69" i="11" s="1"/>
  <c r="K71" i="18"/>
  <c r="D46" i="11"/>
  <c r="D100" i="11" s="1"/>
  <c r="D44" i="18"/>
  <c r="D98" i="18" s="1"/>
  <c r="K95" i="18"/>
  <c r="D46" i="18"/>
  <c r="D100" i="18" s="1"/>
  <c r="D54" i="11"/>
  <c r="D108" i="11" s="1"/>
  <c r="D29" i="11"/>
  <c r="D83" i="11" s="1"/>
  <c r="D52" i="11"/>
  <c r="D106" i="11" s="1"/>
  <c r="K93" i="17"/>
  <c r="K100" i="18"/>
  <c r="D55" i="18"/>
  <c r="D109" i="18" s="1"/>
  <c r="K85" i="17"/>
  <c r="D32" i="18"/>
  <c r="D86" i="18" s="1"/>
  <c r="K107" i="11"/>
  <c r="D25" i="18"/>
  <c r="D79" i="18" s="1"/>
  <c r="K105" i="18"/>
  <c r="K66" i="17"/>
  <c r="D48" i="17"/>
  <c r="D102" i="17" s="1"/>
  <c r="K108" i="17"/>
  <c r="D38" i="18"/>
  <c r="D92" i="18" s="1"/>
  <c r="D31" i="17"/>
  <c r="D85" i="17" s="1"/>
  <c r="D13" i="18"/>
  <c r="D67" i="18" s="1"/>
  <c r="K73" i="11"/>
  <c r="D53" i="18"/>
  <c r="D107" i="18" s="1"/>
  <c r="K102" i="18"/>
  <c r="K76" i="11"/>
  <c r="D47" i="18"/>
  <c r="D101" i="18" s="1"/>
  <c r="D26" i="17"/>
  <c r="D80" i="17" s="1"/>
  <c r="D54" i="18"/>
  <c r="D108" i="18" s="1"/>
  <c r="K69" i="17"/>
  <c r="D51" i="17"/>
  <c r="D105" i="17" s="1"/>
  <c r="K84" i="17"/>
  <c r="D43" i="18"/>
  <c r="D97" i="18" s="1"/>
  <c r="K90" i="11"/>
  <c r="K80" i="17"/>
  <c r="K99" i="17"/>
  <c r="K87" i="17"/>
  <c r="D66" i="11"/>
  <c r="D24" i="11"/>
  <c r="D78" i="11" s="1"/>
  <c r="K91" i="11"/>
  <c r="D49" i="17"/>
  <c r="D103" i="17" s="1"/>
  <c r="D37" i="17"/>
  <c r="D91" i="17" s="1"/>
  <c r="K94" i="11"/>
  <c r="D19" i="11"/>
  <c r="D73" i="11" s="1"/>
  <c r="K87" i="11"/>
  <c r="D56" i="18"/>
  <c r="D110" i="18" s="1"/>
  <c r="D28" i="17"/>
  <c r="D82" i="17" s="1"/>
  <c r="K89" i="17"/>
  <c r="D45" i="18"/>
  <c r="D99" i="18" s="1"/>
  <c r="D49" i="18"/>
  <c r="D103" i="18" s="1"/>
  <c r="K85" i="11"/>
  <c r="K68" i="18"/>
  <c r="D40" i="18"/>
  <c r="D94" i="18" s="1"/>
  <c r="D50" i="18"/>
  <c r="D104" i="18" s="1"/>
  <c r="D14" i="18"/>
  <c r="D68" i="18" s="1"/>
  <c r="D20" i="18"/>
  <c r="D74" i="18" s="1"/>
  <c r="D44" i="17"/>
  <c r="D98" i="17" s="1"/>
  <c r="K89" i="18"/>
  <c r="K74" i="18"/>
  <c r="D27" i="18"/>
  <c r="D81" i="18" s="1"/>
  <c r="D30" i="17"/>
  <c r="D84" i="17" s="1"/>
  <c r="D27" i="11"/>
  <c r="D81" i="11" s="1"/>
  <c r="K66" i="11"/>
  <c r="D44" i="11"/>
  <c r="D98" i="11" s="1"/>
  <c r="K94" i="18"/>
  <c r="D36" i="11"/>
  <c r="D90" i="11" s="1"/>
  <c r="D29" i="17"/>
  <c r="D83" i="17" s="1"/>
  <c r="D25" i="11"/>
  <c r="D79" i="11" s="1"/>
  <c r="K102" i="11"/>
  <c r="D53" i="11"/>
  <c r="D107" i="11" s="1"/>
  <c r="K83" i="17"/>
  <c r="K106" i="11"/>
  <c r="D28" i="18"/>
  <c r="D82" i="18" s="1"/>
  <c r="D18" i="11"/>
  <c r="D72" i="11" s="1"/>
  <c r="K100" i="17"/>
  <c r="K67" i="11"/>
  <c r="D37" i="18"/>
  <c r="D91" i="18" s="1"/>
  <c r="D39" i="18"/>
  <c r="D93" i="18" s="1"/>
  <c r="D25" i="17"/>
  <c r="D79" i="17" s="1"/>
  <c r="D24" i="17"/>
  <c r="D78" i="17" s="1"/>
  <c r="D17" i="17"/>
  <c r="D71" i="17" s="1"/>
  <c r="K81" i="11"/>
  <c r="K85" i="18"/>
  <c r="D35" i="17"/>
  <c r="D89" i="17" s="1"/>
  <c r="K103" i="18"/>
  <c r="D21" i="17"/>
  <c r="D75" i="17" s="1"/>
  <c r="D30" i="18"/>
  <c r="D84" i="18" s="1"/>
  <c r="K87" i="18"/>
  <c r="D13" i="11"/>
  <c r="D67" i="11" s="1"/>
  <c r="K98" i="17"/>
  <c r="K82" i="18"/>
  <c r="D53" i="17"/>
  <c r="D107" i="17" s="1"/>
  <c r="D41" i="11"/>
  <c r="D95" i="11" s="1"/>
  <c r="K73" i="18"/>
  <c r="K68" i="17"/>
  <c r="D51" i="11"/>
  <c r="D105" i="11" s="1"/>
  <c r="K97" i="17"/>
  <c r="K75" i="17"/>
  <c r="D14" i="17"/>
  <c r="D68" i="17" s="1"/>
  <c r="K75" i="11"/>
  <c r="K99" i="11"/>
  <c r="K101" i="17"/>
  <c r="K106" i="17"/>
  <c r="K72" i="18"/>
  <c r="K96" i="18"/>
  <c r="D43" i="17"/>
  <c r="D97" i="17" s="1"/>
  <c r="D47" i="11"/>
  <c r="D101" i="11" s="1"/>
  <c r="D23" i="18"/>
  <c r="D77" i="18" s="1"/>
  <c r="D33" i="17"/>
  <c r="D87" i="17" s="1"/>
  <c r="K81" i="17"/>
  <c r="K77" i="11"/>
  <c r="K77" i="17"/>
  <c r="D46" i="17"/>
  <c r="D100" i="17" s="1"/>
  <c r="D20" i="11"/>
  <c r="D74" i="11" s="1"/>
  <c r="K101" i="11"/>
  <c r="K102" i="17"/>
  <c r="K92" i="18"/>
  <c r="K82" i="17"/>
  <c r="K78" i="18"/>
  <c r="D19" i="18"/>
  <c r="D73" i="18" s="1"/>
  <c r="D40" i="17"/>
  <c r="D94" i="17" s="1"/>
  <c r="K105" i="11"/>
  <c r="K84" i="18"/>
  <c r="D17" i="11"/>
  <c r="D71" i="11" s="1"/>
  <c r="K104" i="18"/>
  <c r="D34" i="11"/>
  <c r="D88" i="11" s="1"/>
  <c r="D33" i="18"/>
  <c r="D87" i="18" s="1"/>
  <c r="K74" i="11"/>
  <c r="D34" i="18"/>
  <c r="D88" i="18" s="1"/>
  <c r="K108" i="11"/>
  <c r="D15" i="17"/>
  <c r="D69" i="17" s="1"/>
  <c r="K78" i="17"/>
  <c r="D41" i="17"/>
  <c r="D95" i="17" s="1"/>
  <c r="D26" i="11"/>
  <c r="D80" i="11" s="1"/>
  <c r="K71" i="11"/>
  <c r="D24" i="18"/>
  <c r="D78" i="18" s="1"/>
  <c r="D15" i="18"/>
  <c r="D69" i="18" s="1"/>
  <c r="D23" i="11"/>
  <c r="D77" i="11" s="1"/>
  <c r="D42" i="11"/>
  <c r="D96" i="11" s="1"/>
  <c r="D18" i="17"/>
  <c r="D72" i="17" s="1"/>
  <c r="D35" i="18"/>
  <c r="D89" i="18" s="1"/>
  <c r="K97" i="11"/>
  <c r="D35" i="11"/>
  <c r="D89" i="11" s="1"/>
  <c r="K93" i="18"/>
  <c r="D18" i="18"/>
  <c r="D72" i="18" s="1"/>
  <c r="K88" i="17"/>
  <c r="D36" i="18"/>
  <c r="D90" i="18" s="1"/>
  <c r="K110" i="18"/>
  <c r="D38" i="17"/>
  <c r="D92" i="17" s="1"/>
  <c r="K86" i="18"/>
  <c r="K70" i="11"/>
  <c r="D50" i="17"/>
  <c r="D104" i="17" s="1"/>
  <c r="D51" i="18"/>
  <c r="D105" i="18" s="1"/>
  <c r="K101" i="18"/>
  <c r="D39" i="11"/>
  <c r="D93" i="11" s="1"/>
  <c r="D55" i="17"/>
  <c r="D109" i="17" s="1"/>
  <c r="D12" i="18"/>
  <c r="D66" i="18" s="1"/>
  <c r="D17" i="18"/>
  <c r="D71" i="18" s="1"/>
  <c r="D45" i="17"/>
  <c r="D99" i="17" s="1"/>
  <c r="K92" i="11"/>
  <c r="K97" i="18"/>
  <c r="D20" i="17"/>
  <c r="D74" i="17" s="1"/>
  <c r="D42" i="18"/>
  <c r="D96" i="18" s="1"/>
  <c r="D36" i="17"/>
  <c r="D90" i="17" s="1"/>
  <c r="K73" i="17"/>
  <c r="K110" i="11"/>
  <c r="K92" i="17"/>
  <c r="K80" i="11"/>
  <c r="K79" i="18"/>
  <c r="D29" i="18"/>
  <c r="D83" i="18" s="1"/>
  <c r="K70" i="17"/>
  <c r="K79" i="17"/>
  <c r="K89" i="11"/>
  <c r="K98" i="11"/>
  <c r="K108" i="18"/>
  <c r="K83" i="18"/>
  <c r="K71" i="17"/>
  <c r="K69" i="18"/>
  <c r="D55" i="11"/>
  <c r="D109" i="11" s="1"/>
  <c r="K90" i="17"/>
  <c r="K79" i="11"/>
  <c r="D52" i="18"/>
  <c r="D106" i="18" s="1"/>
  <c r="D37" i="11"/>
  <c r="D91" i="11" s="1"/>
  <c r="K96" i="17"/>
  <c r="D33" i="11"/>
  <c r="D87" i="11" s="1"/>
  <c r="D22" i="11"/>
  <c r="D76" i="11" s="1"/>
  <c r="D21" i="18"/>
  <c r="D75" i="18" s="1"/>
  <c r="D54" i="17"/>
  <c r="D108" i="17" s="1"/>
  <c r="K76" i="17"/>
  <c r="K98" i="18"/>
  <c r="D56" i="11"/>
  <c r="D110" i="11" s="1"/>
  <c r="D40" i="11"/>
  <c r="D94" i="11" s="1"/>
  <c r="K94" i="17"/>
  <c r="D28" i="11"/>
  <c r="D82" i="11" s="1"/>
  <c r="D13" i="17"/>
  <c r="D67" i="17" s="1"/>
  <c r="K83" i="11"/>
  <c r="D14" i="11"/>
  <c r="D68" i="11" s="1"/>
  <c r="D56" i="17"/>
  <c r="D110" i="17" s="1"/>
  <c r="K72" i="11"/>
  <c r="K78" i="11"/>
  <c r="K107" i="17"/>
  <c r="K91" i="18"/>
  <c r="K67" i="17"/>
  <c r="D16" i="17"/>
  <c r="D70" i="17" s="1"/>
  <c r="K74" i="17"/>
  <c r="D47" i="17"/>
  <c r="D101" i="17" s="1"/>
  <c r="K103" i="11"/>
  <c r="K95" i="17"/>
  <c r="K100" i="11"/>
  <c r="K104" i="17"/>
  <c r="D41" i="18"/>
  <c r="D95" i="18" s="1"/>
  <c r="K67" i="18"/>
  <c r="K82" i="11"/>
  <c r="D50" i="11"/>
  <c r="D104" i="11" s="1"/>
  <c r="K106" i="18"/>
  <c r="K91" i="17"/>
  <c r="D16" i="18"/>
  <c r="D70" i="18" s="1"/>
  <c r="D31" i="18"/>
  <c r="D85" i="18" s="1"/>
  <c r="D26" i="18"/>
  <c r="D80" i="18" s="1"/>
  <c r="K103" i="17"/>
  <c r="K86" i="17"/>
  <c r="D39" i="17"/>
  <c r="D93" i="17" s="1"/>
  <c r="D48" i="18"/>
  <c r="D102" i="18" s="1"/>
  <c r="D22" i="17"/>
  <c r="D76" i="17" s="1"/>
  <c r="K66" i="18"/>
  <c r="K88" i="18"/>
  <c r="K70" i="18"/>
  <c r="K68" i="11"/>
  <c r="K77" i="18"/>
  <c r="D21" i="11"/>
  <c r="D75" i="11" s="1"/>
  <c r="D16" i="11"/>
  <c r="D70" i="11" s="1"/>
  <c r="K109" i="17"/>
  <c r="D52" i="17"/>
  <c r="D106" i="17" s="1"/>
  <c r="D19" i="17"/>
  <c r="D73" i="17" s="1"/>
  <c r="K72" i="17"/>
  <c r="D48" i="11"/>
  <c r="D102" i="11" s="1"/>
  <c r="D43" i="11"/>
  <c r="D97" i="11" s="1"/>
  <c r="D42" i="17"/>
  <c r="D96" i="17" s="1"/>
  <c r="D45" i="11"/>
  <c r="D99" i="11" s="1"/>
  <c r="D12" i="17"/>
  <c r="D66" i="17" s="1"/>
  <c r="K88" i="11"/>
  <c r="K75" i="18"/>
  <c r="K110" i="17"/>
  <c r="K109" i="11"/>
  <c r="D23" i="17"/>
  <c r="D77" i="17" s="1"/>
  <c r="K109" i="18"/>
  <c r="D49" i="11"/>
  <c r="D103" i="11" s="1"/>
  <c r="D27" i="17"/>
  <c r="D81" i="17" s="1"/>
  <c r="K107" i="18"/>
  <c r="D34" i="17"/>
  <c r="D88" i="17" s="1"/>
  <c r="K76" i="18"/>
  <c r="A344" i="5"/>
  <c r="A345" i="5" s="1"/>
  <c r="D343" i="5"/>
  <c r="K76" i="25" s="1"/>
  <c r="E343" i="5"/>
  <c r="O75" i="25" l="1"/>
  <c r="I313" i="27"/>
  <c r="O74" i="25"/>
  <c r="I312" i="27"/>
  <c r="O76" i="25"/>
  <c r="I314" i="27"/>
  <c r="I311" i="27"/>
  <c r="O73" i="25"/>
  <c r="O72" i="25"/>
  <c r="I310" i="27"/>
  <c r="A346" i="5"/>
  <c r="A347" i="5" s="1"/>
  <c r="A348" i="5" s="1"/>
  <c r="A349" i="5" s="1"/>
  <c r="A350" i="5" s="1"/>
  <c r="A351" i="5" s="1"/>
  <c r="A352" i="5" s="1"/>
  <c r="A353" i="5" s="1"/>
  <c r="A354" i="5" s="1"/>
  <c r="A355" i="5" s="1"/>
  <c r="A356" i="5" s="1"/>
  <c r="U312" i="27"/>
  <c r="L310" i="27"/>
  <c r="A307" i="27"/>
  <c r="N74" i="25"/>
  <c r="N71" i="25"/>
  <c r="L314" i="27"/>
  <c r="L307" i="27"/>
  <c r="M307" i="27" s="1"/>
  <c r="A314" i="27"/>
  <c r="O312" i="27"/>
  <c r="N70" i="25"/>
  <c r="L308" i="27"/>
  <c r="M308" i="27" s="1"/>
  <c r="O310" i="27"/>
  <c r="A310" i="27"/>
  <c r="U309" i="27"/>
  <c r="U308" i="27"/>
  <c r="O308" i="27"/>
  <c r="O307" i="27"/>
  <c r="N73" i="25"/>
  <c r="N72" i="25"/>
  <c r="L312" i="27"/>
  <c r="N69" i="25"/>
  <c r="N75" i="25"/>
  <c r="A309" i="27"/>
  <c r="O311" i="27"/>
  <c r="A313" i="27"/>
  <c r="L309" i="27"/>
  <c r="U313" i="27"/>
  <c r="O309" i="27"/>
  <c r="O314" i="27"/>
  <c r="A312" i="27"/>
  <c r="U311" i="27"/>
  <c r="U314" i="27"/>
  <c r="U307" i="27"/>
  <c r="A311" i="27"/>
  <c r="U310" i="27"/>
  <c r="N76" i="25"/>
  <c r="A308" i="27"/>
  <c r="O313" i="27"/>
  <c r="L311" i="27"/>
  <c r="L313" i="27"/>
  <c r="I309" i="27"/>
  <c r="O71" i="25"/>
  <c r="N90" i="18"/>
  <c r="N69" i="17"/>
  <c r="N67" i="11"/>
  <c r="N106" i="18"/>
  <c r="N70" i="11"/>
  <c r="N85" i="11"/>
  <c r="A44" i="3"/>
  <c r="N110" i="18"/>
  <c r="N90" i="11"/>
  <c r="A43" i="3"/>
  <c r="A42" i="3"/>
  <c r="H264" i="3" s="1"/>
  <c r="N78" i="17"/>
  <c r="N89" i="17"/>
  <c r="N86" i="11"/>
  <c r="N69" i="18"/>
  <c r="N105" i="11"/>
  <c r="N82" i="18"/>
  <c r="N75" i="18"/>
  <c r="B264" i="3"/>
  <c r="C264" i="3" s="1"/>
  <c r="I83" i="16" s="1"/>
  <c r="N70" i="17"/>
  <c r="N103" i="11"/>
  <c r="N99" i="11"/>
  <c r="N81" i="18"/>
  <c r="N87" i="11"/>
  <c r="N104" i="17"/>
  <c r="N93" i="11"/>
  <c r="N97" i="18"/>
  <c r="I103" i="16"/>
  <c r="B265" i="3"/>
  <c r="C265" i="3" s="1"/>
  <c r="I85" i="16" s="1"/>
  <c r="N95" i="18"/>
  <c r="N100" i="11"/>
  <c r="N75" i="11"/>
  <c r="N100" i="17"/>
  <c r="N94" i="17"/>
  <c r="N66" i="11"/>
  <c r="N83" i="17"/>
  <c r="N88" i="11"/>
  <c r="N69" i="11"/>
  <c r="N77" i="11"/>
  <c r="N77" i="17"/>
  <c r="N109" i="18"/>
  <c r="N94" i="11"/>
  <c r="N94" i="18"/>
  <c r="N104" i="11"/>
  <c r="N79" i="18"/>
  <c r="N98" i="18"/>
  <c r="N68" i="17"/>
  <c r="N74" i="17"/>
  <c r="C33" i="3"/>
  <c r="C36" i="3"/>
  <c r="N73" i="18"/>
  <c r="N74" i="11"/>
  <c r="N107" i="18"/>
  <c r="N105" i="17"/>
  <c r="N92" i="11"/>
  <c r="N109" i="11"/>
  <c r="N72" i="18"/>
  <c r="N82" i="11"/>
  <c r="N80" i="17"/>
  <c r="N107" i="17"/>
  <c r="N68" i="11"/>
  <c r="N80" i="11"/>
  <c r="N107" i="11"/>
  <c r="N92" i="18"/>
  <c r="N92" i="17"/>
  <c r="N108" i="17"/>
  <c r="N110" i="11"/>
  <c r="C34" i="3"/>
  <c r="N67" i="17"/>
  <c r="N66" i="18"/>
  <c r="N78" i="18"/>
  <c r="N99" i="18"/>
  <c r="N88" i="17"/>
  <c r="N98" i="17"/>
  <c r="N77" i="18"/>
  <c r="N101" i="11"/>
  <c r="N93" i="17"/>
  <c r="N80" i="18"/>
  <c r="N89" i="18"/>
  <c r="N73" i="11"/>
  <c r="N76" i="17"/>
  <c r="N76" i="11"/>
  <c r="N96" i="17"/>
  <c r="N100" i="18"/>
  <c r="N99" i="17"/>
  <c r="N96" i="18"/>
  <c r="N103" i="18"/>
  <c r="N85" i="18"/>
  <c r="N79" i="17"/>
  <c r="N82" i="17"/>
  <c r="N91" i="18"/>
  <c r="N105" i="18"/>
  <c r="N87" i="18"/>
  <c r="B266" i="3"/>
  <c r="C266" i="3" s="1"/>
  <c r="I87" i="16" s="1"/>
  <c r="N84" i="18"/>
  <c r="N101" i="17"/>
  <c r="B262" i="3"/>
  <c r="C262" i="3" s="1"/>
  <c r="I79" i="16" s="1"/>
  <c r="N91" i="17"/>
  <c r="N106" i="17"/>
  <c r="N103" i="17"/>
  <c r="N71" i="17"/>
  <c r="N84" i="11"/>
  <c r="N91" i="11"/>
  <c r="N85" i="17"/>
  <c r="N67" i="18"/>
  <c r="N76" i="18"/>
  <c r="N71" i="11"/>
  <c r="I99" i="16"/>
  <c r="N83" i="18"/>
  <c r="N79" i="11"/>
  <c r="N83" i="11"/>
  <c r="N97" i="11"/>
  <c r="N98" i="11"/>
  <c r="N109" i="17"/>
  <c r="N88" i="18"/>
  <c r="N90" i="17"/>
  <c r="N66" i="17"/>
  <c r="N93" i="18"/>
  <c r="N87" i="17"/>
  <c r="N72" i="17"/>
  <c r="N110" i="17"/>
  <c r="I97" i="16"/>
  <c r="N75" i="17"/>
  <c r="N108" i="18"/>
  <c r="N101" i="18"/>
  <c r="I101" i="16"/>
  <c r="N86" i="18"/>
  <c r="I95" i="16"/>
  <c r="A41" i="3"/>
  <c r="H263" i="3" s="1"/>
  <c r="N74" i="18"/>
  <c r="N95" i="17"/>
  <c r="N70" i="18"/>
  <c r="N72" i="11"/>
  <c r="C35" i="3"/>
  <c r="C37" i="3"/>
  <c r="N89" i="11"/>
  <c r="N97" i="17"/>
  <c r="N106" i="11"/>
  <c r="N108" i="11"/>
  <c r="N71" i="18"/>
  <c r="N81" i="17"/>
  <c r="N81" i="11"/>
  <c r="N102" i="11"/>
  <c r="N96" i="11"/>
  <c r="N84" i="17"/>
  <c r="N68" i="18"/>
  <c r="N78" i="11"/>
  <c r="N102" i="18"/>
  <c r="N86" i="17"/>
  <c r="N104" i="18"/>
  <c r="N95" i="11"/>
  <c r="N73" i="17"/>
  <c r="B263" i="3"/>
  <c r="C263" i="3" s="1"/>
  <c r="I81" i="16" s="1"/>
  <c r="N102" i="17"/>
  <c r="I12" i="28" l="1"/>
  <c r="E37" i="3"/>
  <c r="E36" i="3"/>
  <c r="E19" i="2" s="1"/>
  <c r="I11" i="28"/>
  <c r="I10" i="28"/>
  <c r="E35" i="3"/>
  <c r="E18" i="2" s="1"/>
  <c r="I9" i="28"/>
  <c r="E34" i="3"/>
  <c r="E17" i="2" s="1"/>
  <c r="I8" i="28"/>
  <c r="E33" i="3"/>
  <c r="E16" i="2" s="1"/>
  <c r="J312" i="27"/>
  <c r="K312" i="27" s="1"/>
  <c r="J311" i="27"/>
  <c r="K311" i="27" s="1"/>
  <c r="J314" i="27"/>
  <c r="J313" i="27"/>
  <c r="K313" i="27" s="1"/>
  <c r="J310" i="27"/>
  <c r="K310" i="27" s="1"/>
  <c r="J309" i="27"/>
  <c r="M103" i="2"/>
  <c r="I12" i="20"/>
  <c r="M102" i="2"/>
  <c r="I11" i="20"/>
  <c r="M99" i="2"/>
  <c r="I8" i="20"/>
  <c r="M100" i="2"/>
  <c r="I9" i="20"/>
  <c r="M101" i="2"/>
  <c r="I10" i="20"/>
  <c r="A274" i="3"/>
  <c r="A19" i="28" s="1"/>
  <c r="O274" i="3"/>
  <c r="A273" i="3"/>
  <c r="A18" i="28" s="1"/>
  <c r="O273" i="3"/>
  <c r="A275" i="3"/>
  <c r="A20" i="28" s="1"/>
  <c r="O275" i="3"/>
  <c r="A277" i="3"/>
  <c r="A22" i="28" s="1"/>
  <c r="O277" i="3"/>
  <c r="A276" i="3"/>
  <c r="A21" i="28" s="1"/>
  <c r="O276" i="3"/>
  <c r="B142" i="2"/>
  <c r="D83" i="2"/>
  <c r="B247" i="3" s="1"/>
  <c r="B21" i="2"/>
  <c r="D164" i="2"/>
  <c r="A95" i="16"/>
  <c r="A262" i="3"/>
  <c r="F78" i="3"/>
  <c r="B99" i="2"/>
  <c r="B146" i="2"/>
  <c r="A266" i="3"/>
  <c r="H83" i="2"/>
  <c r="B251" i="3" s="1"/>
  <c r="H164" i="2"/>
  <c r="A87" i="16"/>
  <c r="A103" i="16"/>
  <c r="B214" i="16"/>
  <c r="B103" i="2"/>
  <c r="F82" i="3"/>
  <c r="H34" i="3"/>
  <c r="F34" i="3"/>
  <c r="G34" i="3"/>
  <c r="H36" i="3"/>
  <c r="L15" i="9"/>
  <c r="G36" i="3"/>
  <c r="F36" i="3"/>
  <c r="H33" i="3"/>
  <c r="G33" i="3"/>
  <c r="F33" i="3"/>
  <c r="L16" i="9"/>
  <c r="H37" i="3"/>
  <c r="G37" i="3"/>
  <c r="F37" i="3"/>
  <c r="E20" i="2"/>
  <c r="F35" i="3"/>
  <c r="H35" i="3"/>
  <c r="G35" i="3"/>
  <c r="A79" i="16"/>
  <c r="B145" i="2"/>
  <c r="A101" i="16"/>
  <c r="B102" i="2"/>
  <c r="A265" i="3"/>
  <c r="G83" i="2"/>
  <c r="B250" i="3" s="1"/>
  <c r="G164" i="2"/>
  <c r="B213" i="16"/>
  <c r="A85" i="16"/>
  <c r="F81" i="3"/>
  <c r="B210" i="16"/>
  <c r="B101" i="2"/>
  <c r="F164" i="2"/>
  <c r="B212" i="16"/>
  <c r="A264" i="3"/>
  <c r="A83" i="16"/>
  <c r="F80" i="3"/>
  <c r="B144" i="2"/>
  <c r="A99" i="16"/>
  <c r="F83" i="2"/>
  <c r="B249" i="3" s="1"/>
  <c r="E83" i="2"/>
  <c r="B248" i="3" s="1"/>
  <c r="B211" i="16"/>
  <c r="E164" i="2"/>
  <c r="F79" i="3"/>
  <c r="B143" i="2"/>
  <c r="A97" i="16"/>
  <c r="B100" i="2"/>
  <c r="A263" i="3"/>
  <c r="A81" i="16"/>
  <c r="J400" i="27" l="1"/>
  <c r="K309" i="27"/>
  <c r="M309" i="27" s="1"/>
  <c r="I400" i="27"/>
  <c r="F113" i="11" s="1"/>
  <c r="M313" i="27"/>
  <c r="M311" i="27"/>
  <c r="M310" i="27"/>
  <c r="M312" i="27"/>
  <c r="K314" i="27"/>
  <c r="B104" i="2"/>
  <c r="A12" i="20"/>
  <c r="A12" i="28"/>
  <c r="A11" i="20"/>
  <c r="A11" i="28"/>
  <c r="A9" i="20"/>
  <c r="A9" i="28"/>
  <c r="A10" i="20"/>
  <c r="A10" i="28"/>
  <c r="A8" i="20"/>
  <c r="A8" i="28"/>
  <c r="A33" i="20"/>
  <c r="A21" i="20"/>
  <c r="A34" i="20"/>
  <c r="A22" i="20"/>
  <c r="A30" i="20"/>
  <c r="A18" i="20"/>
  <c r="A31" i="20"/>
  <c r="A19" i="20"/>
  <c r="A32" i="20"/>
  <c r="A20" i="20"/>
  <c r="H41" i="3"/>
  <c r="H42" i="3" s="1"/>
  <c r="H43" i="3" s="1"/>
  <c r="H44" i="3" s="1"/>
  <c r="A196" i="3"/>
  <c r="A185" i="3"/>
  <c r="A12" i="9"/>
  <c r="E19" i="9" s="1"/>
  <c r="A25" i="9"/>
  <c r="I212" i="16"/>
  <c r="J212" i="16" s="1"/>
  <c r="J5" i="3"/>
  <c r="F212" i="16"/>
  <c r="K212" i="16"/>
  <c r="M212" i="16" s="1"/>
  <c r="E212" i="16"/>
  <c r="A186" i="3"/>
  <c r="A197" i="3"/>
  <c r="G41" i="3"/>
  <c r="G42" i="3" s="1"/>
  <c r="G43" i="3" s="1"/>
  <c r="G44" i="3" s="1"/>
  <c r="F41" i="3"/>
  <c r="F42" i="3" s="1"/>
  <c r="F43" i="3" s="1"/>
  <c r="F44" i="3" s="1"/>
  <c r="A28" i="9"/>
  <c r="A15" i="9"/>
  <c r="I19" i="9" s="1"/>
  <c r="A27" i="9"/>
  <c r="A14" i="9"/>
  <c r="G19" i="9" s="1"/>
  <c r="A187" i="3"/>
  <c r="A198" i="3"/>
  <c r="J3" i="3"/>
  <c r="E210" i="16"/>
  <c r="F210" i="16"/>
  <c r="I210" i="16"/>
  <c r="J210" i="16" s="1"/>
  <c r="K210" i="16"/>
  <c r="M210" i="16" s="1"/>
  <c r="A29" i="9"/>
  <c r="A16" i="9"/>
  <c r="J19" i="9" s="1"/>
  <c r="A13" i="9"/>
  <c r="F19" i="9" s="1"/>
  <c r="A26" i="9"/>
  <c r="A184" i="3"/>
  <c r="A195" i="3"/>
  <c r="K211" i="16"/>
  <c r="M211" i="16" s="1"/>
  <c r="E211" i="16"/>
  <c r="I211" i="16"/>
  <c r="J211" i="16" s="1"/>
  <c r="J4" i="3"/>
  <c r="F211" i="16"/>
  <c r="J214" i="16"/>
  <c r="M214" i="16"/>
  <c r="J7" i="3"/>
  <c r="F214" i="16"/>
  <c r="I214" i="16"/>
  <c r="E214" i="16"/>
  <c r="K214" i="16"/>
  <c r="G214" i="16"/>
  <c r="H214" i="16"/>
  <c r="B252" i="3"/>
  <c r="J6" i="3"/>
  <c r="H213" i="16"/>
  <c r="K213" i="16"/>
  <c r="E213" i="16"/>
  <c r="J213" i="16"/>
  <c r="F213" i="16"/>
  <c r="G213" i="16"/>
  <c r="M213" i="16"/>
  <c r="I213" i="16"/>
  <c r="A194" i="3"/>
  <c r="C194" i="3" s="1"/>
  <c r="A183" i="3"/>
  <c r="B96" i="2" l="1"/>
  <c r="A8" i="9" s="1"/>
  <c r="C195" i="3"/>
  <c r="C196" i="3" s="1"/>
  <c r="C197" i="3" s="1"/>
  <c r="C198" i="3" s="1"/>
  <c r="E198" i="3" s="1"/>
  <c r="E200" i="3" s="1"/>
  <c r="E191" i="3" s="1"/>
  <c r="G141" i="2" s="1"/>
  <c r="M314" i="27"/>
  <c r="M350" i="27" s="1"/>
  <c r="K350" i="27"/>
  <c r="A5" i="20"/>
  <c r="A5" i="28"/>
  <c r="G212" i="16"/>
  <c r="H212" i="16" s="1"/>
  <c r="F89" i="2" s="1"/>
  <c r="L3" i="3"/>
  <c r="D90" i="2"/>
  <c r="L5" i="3"/>
  <c r="F90" i="2"/>
  <c r="L7" i="3"/>
  <c r="H90" i="2"/>
  <c r="L4" i="3"/>
  <c r="E90" i="2"/>
  <c r="L6" i="3"/>
  <c r="G90" i="2"/>
  <c r="M3" i="3"/>
  <c r="D91" i="2"/>
  <c r="M5" i="3"/>
  <c r="F91" i="2"/>
  <c r="M4" i="3"/>
  <c r="E91" i="2"/>
  <c r="M7" i="3"/>
  <c r="H91" i="2"/>
  <c r="M6" i="3"/>
  <c r="G91" i="2"/>
  <c r="G211" i="16"/>
  <c r="H211" i="16" s="1"/>
  <c r="K4" i="3" s="1"/>
  <c r="G210" i="16"/>
  <c r="H210" i="16" s="1"/>
  <c r="K3" i="3" s="1"/>
  <c r="K7" i="3"/>
  <c r="H89" i="2"/>
  <c r="K6" i="3"/>
  <c r="G89" i="2"/>
  <c r="K5" i="3" l="1"/>
  <c r="N5" i="3" s="1"/>
  <c r="O5" i="3" s="1"/>
  <c r="N212" i="16" s="1"/>
  <c r="N3" i="3"/>
  <c r="O3" i="3" s="1"/>
  <c r="N210" i="16" s="1"/>
  <c r="E89" i="2"/>
  <c r="E92" i="2" s="1"/>
  <c r="J90" i="2"/>
  <c r="N6" i="3"/>
  <c r="O6" i="3" s="1"/>
  <c r="N213" i="16" s="1"/>
  <c r="G92" i="2"/>
  <c r="N4" i="3"/>
  <c r="H92" i="2"/>
  <c r="J91" i="2"/>
  <c r="N7" i="3"/>
  <c r="O7" i="3" s="1"/>
  <c r="N214" i="16" s="1"/>
  <c r="F92" i="2"/>
  <c r="D89" i="2"/>
  <c r="C277" i="3" l="1"/>
  <c r="Q277" i="3"/>
  <c r="Q276" i="3"/>
  <c r="C276" i="3"/>
  <c r="Q273" i="3"/>
  <c r="C273" i="3"/>
  <c r="C18" i="28" s="1"/>
  <c r="C275" i="3"/>
  <c r="C20" i="28" s="1"/>
  <c r="Q275" i="3"/>
  <c r="J89" i="2"/>
  <c r="B254" i="3" s="1"/>
  <c r="E252" i="3" s="1"/>
  <c r="B93" i="2" s="1"/>
  <c r="D92" i="2"/>
  <c r="O4" i="3"/>
  <c r="N211" i="16" s="1"/>
  <c r="Q274" i="3" s="1"/>
  <c r="C22" i="28" l="1"/>
  <c r="D277" i="3"/>
  <c r="C34" i="20"/>
  <c r="C22" i="20"/>
  <c r="C21" i="28"/>
  <c r="C33" i="20"/>
  <c r="C21" i="20"/>
  <c r="D276" i="3"/>
  <c r="D20" i="28"/>
  <c r="G20" i="28"/>
  <c r="I20" i="28" s="1"/>
  <c r="J20" i="28" s="1"/>
  <c r="D18" i="28"/>
  <c r="Q279" i="3"/>
  <c r="C32" i="20"/>
  <c r="C20" i="20"/>
  <c r="D20" i="20" s="1"/>
  <c r="D275" i="3"/>
  <c r="E275" i="3" s="1"/>
  <c r="C30" i="20"/>
  <c r="C18" i="20"/>
  <c r="D273" i="3"/>
  <c r="E273" i="3" s="1"/>
  <c r="E18" i="28" s="1"/>
  <c r="N215" i="16"/>
  <c r="C274" i="3"/>
  <c r="J92" i="2"/>
  <c r="L13" i="9"/>
  <c r="D22" i="20" l="1"/>
  <c r="E277" i="3"/>
  <c r="F277" i="3" s="1"/>
  <c r="G277" i="3" s="1"/>
  <c r="I277" i="3" s="1"/>
  <c r="J277" i="3" s="1"/>
  <c r="K277" i="3" s="1"/>
  <c r="M277" i="3" s="1"/>
  <c r="G22" i="28"/>
  <c r="I22" i="28" s="1"/>
  <c r="J22" i="28" s="1"/>
  <c r="K22" i="28" s="1"/>
  <c r="M22" i="28" s="1"/>
  <c r="D22" i="28"/>
  <c r="E276" i="3"/>
  <c r="F276" i="3" s="1"/>
  <c r="G276" i="3" s="1"/>
  <c r="I276" i="3" s="1"/>
  <c r="J276" i="3" s="1"/>
  <c r="K276" i="3" s="1"/>
  <c r="M276" i="3" s="1"/>
  <c r="D21" i="20"/>
  <c r="G21" i="28"/>
  <c r="I21" i="28" s="1"/>
  <c r="J21" i="28" s="1"/>
  <c r="K21" i="28" s="1"/>
  <c r="M21" i="28" s="1"/>
  <c r="D21" i="28"/>
  <c r="E32" i="20"/>
  <c r="E20" i="28"/>
  <c r="F20" i="28" s="1"/>
  <c r="C279" i="3"/>
  <c r="F48" i="16" s="1"/>
  <c r="C19" i="28"/>
  <c r="G19" i="28" s="1"/>
  <c r="I19" i="28" s="1"/>
  <c r="J19" i="28" s="1"/>
  <c r="F18" i="28"/>
  <c r="G18" i="28" s="1"/>
  <c r="C31" i="20"/>
  <c r="C19" i="20"/>
  <c r="D19" i="20" s="1"/>
  <c r="E30" i="20"/>
  <c r="E18" i="20"/>
  <c r="D18" i="20"/>
  <c r="E20" i="9"/>
  <c r="E20" i="20"/>
  <c r="F20" i="20" s="1"/>
  <c r="G20" i="20" s="1"/>
  <c r="G20" i="9"/>
  <c r="F275" i="3"/>
  <c r="G275" i="3" s="1"/>
  <c r="F273" i="3"/>
  <c r="G273" i="3" s="1"/>
  <c r="D274" i="3"/>
  <c r="E22" i="28" l="1"/>
  <c r="F22" i="28" s="1"/>
  <c r="E22" i="20"/>
  <c r="F22" i="20" s="1"/>
  <c r="G22" i="20" s="1"/>
  <c r="I22" i="20" s="1"/>
  <c r="J22" i="20" s="1"/>
  <c r="K22" i="20" s="1"/>
  <c r="M22" i="20" s="1"/>
  <c r="J20" i="9"/>
  <c r="L29" i="9" s="1"/>
  <c r="E34" i="20"/>
  <c r="E21" i="20"/>
  <c r="F21" i="20" s="1"/>
  <c r="G21" i="20" s="1"/>
  <c r="I21" i="20" s="1"/>
  <c r="J21" i="20" s="1"/>
  <c r="K21" i="20" s="1"/>
  <c r="M21" i="20" s="1"/>
  <c r="E33" i="20"/>
  <c r="E21" i="28"/>
  <c r="F21" i="28" s="1"/>
  <c r="I20" i="9"/>
  <c r="L28" i="9" s="1"/>
  <c r="I20" i="20"/>
  <c r="J20" i="20" s="1"/>
  <c r="K20" i="20" s="1"/>
  <c r="M20" i="20" s="1"/>
  <c r="I18" i="28"/>
  <c r="J18" i="28" s="1"/>
  <c r="I275" i="3"/>
  <c r="J275" i="3" s="1"/>
  <c r="K275" i="3" s="1"/>
  <c r="I273" i="3"/>
  <c r="J273" i="3" s="1"/>
  <c r="K20" i="28"/>
  <c r="M20" i="28" s="1"/>
  <c r="D19" i="28"/>
  <c r="C24" i="28"/>
  <c r="C36" i="20"/>
  <c r="C24" i="20"/>
  <c r="F18" i="20"/>
  <c r="G18" i="20" s="1"/>
  <c r="E274" i="3"/>
  <c r="E19" i="28" s="1"/>
  <c r="E24" i="28" l="1"/>
  <c r="J29" i="9"/>
  <c r="I29" i="9" s="1"/>
  <c r="H29" i="9" s="1"/>
  <c r="J28" i="9"/>
  <c r="I28" i="9" s="1"/>
  <c r="H28" i="9" s="1"/>
  <c r="I18" i="20"/>
  <c r="J18" i="20" s="1"/>
  <c r="M275" i="3"/>
  <c r="K273" i="3"/>
  <c r="M273" i="3" s="1"/>
  <c r="F19" i="28"/>
  <c r="E31" i="20"/>
  <c r="E279" i="3"/>
  <c r="L49" i="16" s="1"/>
  <c r="L14" i="9"/>
  <c r="L27" i="9" s="1"/>
  <c r="F20" i="9"/>
  <c r="L26" i="9" s="1"/>
  <c r="E19" i="20"/>
  <c r="F274" i="3"/>
  <c r="G274" i="3" s="1"/>
  <c r="L12" i="9"/>
  <c r="G29" i="9" l="1"/>
  <c r="F29" i="9" s="1"/>
  <c r="E29" i="9" s="1"/>
  <c r="D29" i="9" s="1"/>
  <c r="G28" i="9"/>
  <c r="F28" i="9" s="1"/>
  <c r="E28" i="9" s="1"/>
  <c r="D28" i="9" s="1"/>
  <c r="K18" i="28"/>
  <c r="M18" i="28" s="1"/>
  <c r="E36" i="20"/>
  <c r="I274" i="3"/>
  <c r="J274" i="3" s="1"/>
  <c r="K18" i="20"/>
  <c r="M18" i="20" s="1"/>
  <c r="I24" i="28"/>
  <c r="J27" i="9"/>
  <c r="I27" i="9" s="1"/>
  <c r="G27" i="9" s="1"/>
  <c r="F19" i="20"/>
  <c r="G19" i="20" s="1"/>
  <c r="E24" i="20"/>
  <c r="J26" i="9"/>
  <c r="I26" i="9" s="1"/>
  <c r="H26" i="9" s="1"/>
  <c r="I19" i="20" l="1"/>
  <c r="J19" i="20" s="1"/>
  <c r="K19" i="20" s="1"/>
  <c r="M19" i="20" s="1"/>
  <c r="K110" i="2"/>
  <c r="H24" i="28"/>
  <c r="K19" i="28"/>
  <c r="K274" i="3"/>
  <c r="M274" i="3" s="1"/>
  <c r="M279" i="3" s="1"/>
  <c r="H27" i="9"/>
  <c r="F27" i="9" s="1"/>
  <c r="E27" i="9" s="1"/>
  <c r="D27" i="9" s="1"/>
  <c r="G26" i="9"/>
  <c r="F26" i="9" s="1"/>
  <c r="E26" i="9" s="1"/>
  <c r="D26" i="9" s="1"/>
  <c r="L20" i="9"/>
  <c r="L25" i="9"/>
  <c r="J24" i="28" l="1"/>
  <c r="K24" i="28"/>
  <c r="K279" i="3"/>
  <c r="B109" i="2"/>
  <c r="A14" i="28" s="1"/>
  <c r="L43" i="16"/>
  <c r="L45" i="16" s="1"/>
  <c r="M19" i="28"/>
  <c r="M24" i="28" s="1"/>
  <c r="M24" i="20"/>
  <c r="K24" i="20"/>
  <c r="J25" i="9"/>
  <c r="I25" i="9" s="1"/>
  <c r="H25" i="9" s="1"/>
  <c r="L30" i="9"/>
  <c r="B34" i="20" l="1"/>
  <c r="B31" i="20"/>
  <c r="D31" i="20" s="1"/>
  <c r="B30" i="20"/>
  <c r="B32" i="20"/>
  <c r="D32" i="20" s="1"/>
  <c r="K32" i="20" s="1"/>
  <c r="M32" i="20" s="1"/>
  <c r="B33" i="20"/>
  <c r="D33" i="20" s="1"/>
  <c r="K33" i="20" s="1"/>
  <c r="M33" i="20" s="1"/>
  <c r="P189" i="27"/>
  <c r="R189" i="27" s="1"/>
  <c r="T189" i="27" s="1"/>
  <c r="P169" i="27"/>
  <c r="R169" i="27" s="1"/>
  <c r="T169" i="27" s="1"/>
  <c r="P60" i="27"/>
  <c r="R60" i="27" s="1"/>
  <c r="T60" i="27" s="1"/>
  <c r="P70" i="27"/>
  <c r="R70" i="27" s="1"/>
  <c r="T70" i="27" s="1"/>
  <c r="P29" i="27"/>
  <c r="R29" i="27" s="1"/>
  <c r="T29" i="27" s="1"/>
  <c r="P11" i="27"/>
  <c r="R11" i="27" s="1"/>
  <c r="T11" i="27" s="1"/>
  <c r="P322" i="27"/>
  <c r="R322" i="27" s="1"/>
  <c r="T322" i="27" s="1"/>
  <c r="V322" i="27" s="1"/>
  <c r="P186" i="27"/>
  <c r="R186" i="27" s="1"/>
  <c r="T186" i="27" s="1"/>
  <c r="V186" i="27" s="1"/>
  <c r="P330" i="27"/>
  <c r="R330" i="27" s="1"/>
  <c r="T330" i="27" s="1"/>
  <c r="V330" i="27" s="1"/>
  <c r="P109" i="27"/>
  <c r="R109" i="27" s="1"/>
  <c r="T109" i="27" s="1"/>
  <c r="V109" i="27" s="1"/>
  <c r="P48" i="27"/>
  <c r="R48" i="27" s="1"/>
  <c r="T48" i="27" s="1"/>
  <c r="V48" i="27" s="1"/>
  <c r="P115" i="27"/>
  <c r="R115" i="27" s="1"/>
  <c r="T115" i="27" s="1"/>
  <c r="V115" i="27" s="1"/>
  <c r="P282" i="27"/>
  <c r="R282" i="27" s="1"/>
  <c r="T282" i="27" s="1"/>
  <c r="I94" i="24" s="1"/>
  <c r="L94" i="24" s="1"/>
  <c r="P298" i="27"/>
  <c r="R298" i="27" s="1"/>
  <c r="T298" i="27" s="1"/>
  <c r="V298" i="27" s="1"/>
  <c r="P188" i="27"/>
  <c r="R188" i="27" s="1"/>
  <c r="T188" i="27" s="1"/>
  <c r="V188" i="27" s="1"/>
  <c r="P247" i="27"/>
  <c r="R247" i="27" s="1"/>
  <c r="T247" i="27" s="1"/>
  <c r="V247" i="27" s="1"/>
  <c r="P75" i="27"/>
  <c r="R75" i="27" s="1"/>
  <c r="T75" i="27" s="1"/>
  <c r="I87" i="17" s="1"/>
  <c r="L87" i="17" s="1"/>
  <c r="P147" i="27"/>
  <c r="R147" i="27" s="1"/>
  <c r="T147" i="27" s="1"/>
  <c r="V147" i="27" s="1"/>
  <c r="P306" i="27"/>
  <c r="R306" i="27" s="1"/>
  <c r="T306" i="27" s="1"/>
  <c r="V306" i="27" s="1"/>
  <c r="P209" i="27"/>
  <c r="R209" i="27" s="1"/>
  <c r="T209" i="27" s="1"/>
  <c r="V209" i="27" s="1"/>
  <c r="P69" i="27"/>
  <c r="R69" i="27" s="1"/>
  <c r="T69" i="27" s="1"/>
  <c r="V69" i="27" s="1"/>
  <c r="P240" i="27"/>
  <c r="R240" i="27" s="1"/>
  <c r="T240" i="27" s="1"/>
  <c r="V240" i="27" s="1"/>
  <c r="P98" i="27"/>
  <c r="R98" i="27" s="1"/>
  <c r="T98" i="27" s="1"/>
  <c r="V98" i="27" s="1"/>
  <c r="P16" i="27"/>
  <c r="R16" i="27" s="1"/>
  <c r="T16" i="27" s="1"/>
  <c r="V16" i="27" s="1"/>
  <c r="P27" i="27"/>
  <c r="R27" i="27" s="1"/>
  <c r="T27" i="27" s="1"/>
  <c r="V27" i="27" s="1"/>
  <c r="P360" i="27"/>
  <c r="R360" i="27" s="1"/>
  <c r="T360" i="27" s="1"/>
  <c r="V360" i="27" s="1"/>
  <c r="P389" i="27"/>
  <c r="R389" i="27" s="1"/>
  <c r="T389" i="27" s="1"/>
  <c r="V389" i="27" s="1"/>
  <c r="P130" i="27"/>
  <c r="R130" i="27" s="1"/>
  <c r="T130" i="27" s="1"/>
  <c r="V130" i="27" s="1"/>
  <c r="P392" i="27"/>
  <c r="R392" i="27" s="1"/>
  <c r="T392" i="27" s="1"/>
  <c r="V392" i="27" s="1"/>
  <c r="P86" i="27"/>
  <c r="R86" i="27" s="1"/>
  <c r="T86" i="27" s="1"/>
  <c r="I98" i="17" s="1"/>
  <c r="L98" i="17" s="1"/>
  <c r="P276" i="3"/>
  <c r="R276" i="3" s="1"/>
  <c r="T276" i="3" s="1"/>
  <c r="V276" i="3" s="1"/>
  <c r="P319" i="27"/>
  <c r="R319" i="27" s="1"/>
  <c r="T319" i="27" s="1"/>
  <c r="I81" i="25" s="1"/>
  <c r="L81" i="25" s="1"/>
  <c r="P219" i="27"/>
  <c r="R219" i="27" s="1"/>
  <c r="T219" i="27" s="1"/>
  <c r="I81" i="23" s="1"/>
  <c r="L81" i="23" s="1"/>
  <c r="P28" i="27"/>
  <c r="R28" i="27" s="1"/>
  <c r="T28" i="27" s="1"/>
  <c r="V28" i="27" s="1"/>
  <c r="P34" i="27"/>
  <c r="R34" i="27" s="1"/>
  <c r="T34" i="27" s="1"/>
  <c r="V34" i="27" s="1"/>
  <c r="P380" i="27"/>
  <c r="R380" i="27" s="1"/>
  <c r="T380" i="27" s="1"/>
  <c r="I92" i="26" s="1"/>
  <c r="L92" i="26" s="1"/>
  <c r="P19" i="27"/>
  <c r="R19" i="27" s="1"/>
  <c r="T19" i="27" s="1"/>
  <c r="I81" i="11" s="1"/>
  <c r="L81" i="11" s="1"/>
  <c r="P311" i="27"/>
  <c r="R311" i="27" s="1"/>
  <c r="T311" i="27" s="1"/>
  <c r="V311" i="27" s="1"/>
  <c r="P244" i="27"/>
  <c r="R244" i="27" s="1"/>
  <c r="T244" i="27" s="1"/>
  <c r="V244" i="27" s="1"/>
  <c r="P183" i="27"/>
  <c r="R183" i="27" s="1"/>
  <c r="T183" i="27" s="1"/>
  <c r="V183" i="27" s="1"/>
  <c r="P21" i="27"/>
  <c r="R21" i="27" s="1"/>
  <c r="T21" i="27" s="1"/>
  <c r="V21" i="27" s="1"/>
  <c r="P184" i="27"/>
  <c r="R184" i="27" s="1"/>
  <c r="T184" i="27" s="1"/>
  <c r="V184" i="27" s="1"/>
  <c r="P197" i="27"/>
  <c r="R197" i="27" s="1"/>
  <c r="T197" i="27" s="1"/>
  <c r="I109" i="21" s="1"/>
  <c r="L109" i="21" s="1"/>
  <c r="P317" i="27"/>
  <c r="R317" i="27" s="1"/>
  <c r="T317" i="27" s="1"/>
  <c r="I79" i="25" s="1"/>
  <c r="L79" i="25" s="1"/>
  <c r="P295" i="27"/>
  <c r="R295" i="27" s="1"/>
  <c r="T295" i="27" s="1"/>
  <c r="V295" i="27" s="1"/>
  <c r="P129" i="27"/>
  <c r="R129" i="27" s="1"/>
  <c r="T129" i="27" s="1"/>
  <c r="I91" i="18" s="1"/>
  <c r="L91" i="18" s="1"/>
  <c r="P122" i="27"/>
  <c r="R122" i="27" s="1"/>
  <c r="T122" i="27" s="1"/>
  <c r="V122" i="27" s="1"/>
  <c r="P191" i="27"/>
  <c r="R191" i="27" s="1"/>
  <c r="T191" i="27" s="1"/>
  <c r="V191" i="27" s="1"/>
  <c r="P296" i="27"/>
  <c r="R296" i="27" s="1"/>
  <c r="T296" i="27" s="1"/>
  <c r="V296" i="27" s="1"/>
  <c r="P198" i="27"/>
  <c r="R198" i="27" s="1"/>
  <c r="T198" i="27" s="1"/>
  <c r="I110" i="21" s="1"/>
  <c r="L110" i="21" s="1"/>
  <c r="P165" i="27"/>
  <c r="R165" i="27" s="1"/>
  <c r="T165" i="27" s="1"/>
  <c r="V165" i="27" s="1"/>
  <c r="P18" i="27"/>
  <c r="R18" i="27" s="1"/>
  <c r="T18" i="27" s="1"/>
  <c r="I80" i="11" s="1"/>
  <c r="L80" i="11" s="1"/>
  <c r="P274" i="27"/>
  <c r="R274" i="27" s="1"/>
  <c r="T274" i="27" s="1"/>
  <c r="V274" i="27" s="1"/>
  <c r="P343" i="27"/>
  <c r="R343" i="27" s="1"/>
  <c r="T343" i="27" s="1"/>
  <c r="I105" i="25" s="1"/>
  <c r="L105" i="25" s="1"/>
  <c r="P232" i="27"/>
  <c r="R232" i="27" s="1"/>
  <c r="T232" i="27" s="1"/>
  <c r="V232" i="27" s="1"/>
  <c r="P84" i="27"/>
  <c r="R84" i="27" s="1"/>
  <c r="T84" i="27" s="1"/>
  <c r="V84" i="27" s="1"/>
  <c r="P114" i="27"/>
  <c r="R114" i="27" s="1"/>
  <c r="T114" i="27" s="1"/>
  <c r="V114" i="27" s="1"/>
  <c r="P305" i="27"/>
  <c r="R305" i="27" s="1"/>
  <c r="T305" i="27" s="1"/>
  <c r="V305" i="27" s="1"/>
  <c r="P393" i="27"/>
  <c r="R393" i="27" s="1"/>
  <c r="T393" i="27" s="1"/>
  <c r="V393" i="27" s="1"/>
  <c r="P289" i="27"/>
  <c r="R289" i="27" s="1"/>
  <c r="T289" i="27" s="1"/>
  <c r="V289" i="27" s="1"/>
  <c r="P212" i="27"/>
  <c r="R212" i="27" s="1"/>
  <c r="T212" i="27" s="1"/>
  <c r="V212" i="27" s="1"/>
  <c r="P141" i="27"/>
  <c r="R141" i="27" s="1"/>
  <c r="T141" i="27" s="1"/>
  <c r="V141" i="27" s="1"/>
  <c r="P266" i="27"/>
  <c r="R266" i="27" s="1"/>
  <c r="T266" i="27" s="1"/>
  <c r="V266" i="27" s="1"/>
  <c r="P293" i="27"/>
  <c r="R293" i="27" s="1"/>
  <c r="T293" i="27" s="1"/>
  <c r="I105" i="24" s="1"/>
  <c r="L105" i="24" s="1"/>
  <c r="P236" i="27"/>
  <c r="R236" i="27" s="1"/>
  <c r="T236" i="27" s="1"/>
  <c r="I98" i="23" s="1"/>
  <c r="L98" i="23" s="1"/>
  <c r="P336" i="27"/>
  <c r="R336" i="27" s="1"/>
  <c r="T336" i="27" s="1"/>
  <c r="V336" i="27" s="1"/>
  <c r="P273" i="27"/>
  <c r="R273" i="27" s="1"/>
  <c r="T273" i="27" s="1"/>
  <c r="V273" i="27" s="1"/>
  <c r="P79" i="27"/>
  <c r="R79" i="27" s="1"/>
  <c r="T79" i="27" s="1"/>
  <c r="V79" i="27" s="1"/>
  <c r="P87" i="27"/>
  <c r="R87" i="27" s="1"/>
  <c r="T87" i="27" s="1"/>
  <c r="I99" i="17" s="1"/>
  <c r="L99" i="17" s="1"/>
  <c r="P62" i="27"/>
  <c r="R62" i="27" s="1"/>
  <c r="T62" i="27" s="1"/>
  <c r="V62" i="27" s="1"/>
  <c r="P15" i="27"/>
  <c r="R15" i="27" s="1"/>
  <c r="T15" i="27" s="1"/>
  <c r="V15" i="27" s="1"/>
  <c r="P121" i="27"/>
  <c r="R121" i="27" s="1"/>
  <c r="T121" i="27" s="1"/>
  <c r="V121" i="27" s="1"/>
  <c r="P267" i="27"/>
  <c r="R267" i="27" s="1"/>
  <c r="T267" i="27" s="1"/>
  <c r="I79" i="24" s="1"/>
  <c r="L79" i="24" s="1"/>
  <c r="P33" i="27"/>
  <c r="R33" i="27" s="1"/>
  <c r="T33" i="27" s="1"/>
  <c r="I95" i="11" s="1"/>
  <c r="L95" i="11" s="1"/>
  <c r="P308" i="27"/>
  <c r="R308" i="27" s="1"/>
  <c r="T308" i="27" s="1"/>
  <c r="V308" i="27" s="1"/>
  <c r="P35" i="27"/>
  <c r="R35" i="27" s="1"/>
  <c r="T35" i="27" s="1"/>
  <c r="V35" i="27" s="1"/>
  <c r="P135" i="27"/>
  <c r="R135" i="27" s="1"/>
  <c r="T135" i="27" s="1"/>
  <c r="V135" i="27" s="1"/>
  <c r="P359" i="27"/>
  <c r="R359" i="27" s="1"/>
  <c r="T359" i="27" s="1"/>
  <c r="V359" i="27" s="1"/>
  <c r="P78" i="27"/>
  <c r="R78" i="27" s="1"/>
  <c r="T78" i="27" s="1"/>
  <c r="V78" i="27" s="1"/>
  <c r="P373" i="27"/>
  <c r="R373" i="27" s="1"/>
  <c r="T373" i="27" s="1"/>
  <c r="I85" i="26" s="1"/>
  <c r="L85" i="26" s="1"/>
  <c r="P107" i="27"/>
  <c r="R107" i="27" s="1"/>
  <c r="T107" i="27" s="1"/>
  <c r="I69" i="18" s="1"/>
  <c r="L69" i="18" s="1"/>
  <c r="P71" i="27"/>
  <c r="R71" i="27" s="1"/>
  <c r="T71" i="27" s="1"/>
  <c r="V71" i="27" s="1"/>
  <c r="P222" i="27"/>
  <c r="R222" i="27" s="1"/>
  <c r="T222" i="27" s="1"/>
  <c r="V222" i="27" s="1"/>
  <c r="P262" i="27"/>
  <c r="R262" i="27" s="1"/>
  <c r="T262" i="27" s="1"/>
  <c r="V262" i="27" s="1"/>
  <c r="P136" i="27"/>
  <c r="R136" i="27" s="1"/>
  <c r="T136" i="27" s="1"/>
  <c r="V136" i="27" s="1"/>
  <c r="P157" i="27"/>
  <c r="R157" i="27" s="1"/>
  <c r="T157" i="27" s="1"/>
  <c r="V157" i="27" s="1"/>
  <c r="P284" i="27"/>
  <c r="R284" i="27" s="1"/>
  <c r="T284" i="27" s="1"/>
  <c r="V284" i="27" s="1"/>
  <c r="P140" i="27"/>
  <c r="R140" i="27" s="1"/>
  <c r="T140" i="27" s="1"/>
  <c r="V140" i="27" s="1"/>
  <c r="P356" i="27"/>
  <c r="R356" i="27" s="1"/>
  <c r="T356" i="27" s="1"/>
  <c r="I68" i="26" s="1"/>
  <c r="L68" i="26" s="1"/>
  <c r="P348" i="27"/>
  <c r="R348" i="27" s="1"/>
  <c r="T348" i="27" s="1"/>
  <c r="I110" i="25" s="1"/>
  <c r="L110" i="25" s="1"/>
  <c r="P339" i="27"/>
  <c r="R339" i="27" s="1"/>
  <c r="T339" i="27" s="1"/>
  <c r="V339" i="27" s="1"/>
  <c r="P12" i="27"/>
  <c r="R12" i="27" s="1"/>
  <c r="T12" i="27" s="1"/>
  <c r="V12" i="27" s="1"/>
  <c r="P175" i="27"/>
  <c r="R175" i="27" s="1"/>
  <c r="T175" i="27" s="1"/>
  <c r="V175" i="27" s="1"/>
  <c r="P238" i="27"/>
  <c r="R238" i="27" s="1"/>
  <c r="T238" i="27" s="1"/>
  <c r="V238" i="27" s="1"/>
  <c r="P110" i="27"/>
  <c r="R110" i="27" s="1"/>
  <c r="T110" i="27" s="1"/>
  <c r="V110" i="27" s="1"/>
  <c r="P81" i="27"/>
  <c r="R81" i="27" s="1"/>
  <c r="T81" i="27" s="1"/>
  <c r="V81" i="27" s="1"/>
  <c r="P22" i="27"/>
  <c r="R22" i="27" s="1"/>
  <c r="T22" i="27" s="1"/>
  <c r="V22" i="27" s="1"/>
  <c r="P388" i="27"/>
  <c r="R388" i="27" s="1"/>
  <c r="T388" i="27" s="1"/>
  <c r="I100" i="26" s="1"/>
  <c r="L100" i="26" s="1"/>
  <c r="P332" i="27"/>
  <c r="R332" i="27" s="1"/>
  <c r="T332" i="27" s="1"/>
  <c r="V332" i="27" s="1"/>
  <c r="P74" i="27"/>
  <c r="R74" i="27" s="1"/>
  <c r="T74" i="27" s="1"/>
  <c r="V74" i="27" s="1"/>
  <c r="P181" i="27"/>
  <c r="R181" i="27" s="1"/>
  <c r="T181" i="27" s="1"/>
  <c r="V181" i="27" s="1"/>
  <c r="P370" i="27"/>
  <c r="R370" i="27" s="1"/>
  <c r="T370" i="27" s="1"/>
  <c r="V370" i="27" s="1"/>
  <c r="P281" i="27"/>
  <c r="R281" i="27" s="1"/>
  <c r="T281" i="27" s="1"/>
  <c r="V281" i="27" s="1"/>
  <c r="P367" i="27"/>
  <c r="R367" i="27" s="1"/>
  <c r="T367" i="27" s="1"/>
  <c r="V367" i="27" s="1"/>
  <c r="P239" i="27"/>
  <c r="R239" i="27" s="1"/>
  <c r="T239" i="27" s="1"/>
  <c r="V239" i="27" s="1"/>
  <c r="P333" i="27"/>
  <c r="R333" i="27" s="1"/>
  <c r="T333" i="27" s="1"/>
  <c r="V333" i="27" s="1"/>
  <c r="P47" i="27"/>
  <c r="R47" i="27" s="1"/>
  <c r="T47" i="27" s="1"/>
  <c r="V47" i="27" s="1"/>
  <c r="P61" i="27"/>
  <c r="R61" i="27" s="1"/>
  <c r="T61" i="27" s="1"/>
  <c r="I73" i="17" s="1"/>
  <c r="L73" i="17" s="1"/>
  <c r="P207" i="27"/>
  <c r="R207" i="27" s="1"/>
  <c r="T207" i="27" s="1"/>
  <c r="V207" i="27" s="1"/>
  <c r="P318" i="27"/>
  <c r="R318" i="27" s="1"/>
  <c r="T318" i="27" s="1"/>
  <c r="V318" i="27" s="1"/>
  <c r="P265" i="27"/>
  <c r="R265" i="27" s="1"/>
  <c r="T265" i="27" s="1"/>
  <c r="V265" i="27" s="1"/>
  <c r="P17" i="27"/>
  <c r="R17" i="27" s="1"/>
  <c r="T17" i="27" s="1"/>
  <c r="I79" i="11" s="1"/>
  <c r="L79" i="11" s="1"/>
  <c r="P56" i="27"/>
  <c r="R56" i="27" s="1"/>
  <c r="T56" i="27" s="1"/>
  <c r="I68" i="17" s="1"/>
  <c r="L68" i="17" s="1"/>
  <c r="P320" i="27"/>
  <c r="R320" i="27" s="1"/>
  <c r="T320" i="27" s="1"/>
  <c r="I82" i="25" s="1"/>
  <c r="L82" i="25" s="1"/>
  <c r="P43" i="27"/>
  <c r="R43" i="27" s="1"/>
  <c r="T43" i="27" s="1"/>
  <c r="V43" i="27" s="1"/>
  <c r="P342" i="27"/>
  <c r="R342" i="27" s="1"/>
  <c r="T342" i="27" s="1"/>
  <c r="V342" i="27" s="1"/>
  <c r="P67" i="27"/>
  <c r="R67" i="27" s="1"/>
  <c r="T67" i="27" s="1"/>
  <c r="V67" i="27" s="1"/>
  <c r="P204" i="27"/>
  <c r="R204" i="27" s="1"/>
  <c r="T204" i="27" s="1"/>
  <c r="V204" i="27" s="1"/>
  <c r="P328" i="27"/>
  <c r="R328" i="27" s="1"/>
  <c r="T328" i="27" s="1"/>
  <c r="V328" i="27" s="1"/>
  <c r="P331" i="27"/>
  <c r="R331" i="27" s="1"/>
  <c r="T331" i="27" s="1"/>
  <c r="I93" i="25" s="1"/>
  <c r="L93" i="25" s="1"/>
  <c r="P13" i="27"/>
  <c r="R13" i="27" s="1"/>
  <c r="T13" i="27" s="1"/>
  <c r="I75" i="11" s="1"/>
  <c r="L75" i="11" s="1"/>
  <c r="P93" i="27"/>
  <c r="R93" i="27" s="1"/>
  <c r="T93" i="27" s="1"/>
  <c r="I105" i="17" s="1"/>
  <c r="L105" i="17" s="1"/>
  <c r="P127" i="27"/>
  <c r="R127" i="27" s="1"/>
  <c r="T127" i="27" s="1"/>
  <c r="V127" i="27" s="1"/>
  <c r="P364" i="27"/>
  <c r="R364" i="27" s="1"/>
  <c r="T364" i="27" s="1"/>
  <c r="V364" i="27" s="1"/>
  <c r="P288" i="27"/>
  <c r="R288" i="27" s="1"/>
  <c r="T288" i="27" s="1"/>
  <c r="I100" i="24" s="1"/>
  <c r="L100" i="24" s="1"/>
  <c r="P179" i="27"/>
  <c r="R179" i="27" s="1"/>
  <c r="T179" i="27" s="1"/>
  <c r="I91" i="21" s="1"/>
  <c r="L91" i="21" s="1"/>
  <c r="P30" i="27"/>
  <c r="R30" i="27" s="1"/>
  <c r="T30" i="27" s="1"/>
  <c r="V30" i="27" s="1"/>
  <c r="P143" i="27"/>
  <c r="R143" i="27" s="1"/>
  <c r="T143" i="27" s="1"/>
  <c r="V143" i="27" s="1"/>
  <c r="P112" i="27"/>
  <c r="R112" i="27" s="1"/>
  <c r="T112" i="27" s="1"/>
  <c r="V112" i="27" s="1"/>
  <c r="P208" i="27"/>
  <c r="R208" i="27" s="1"/>
  <c r="T208" i="27" s="1"/>
  <c r="V208" i="27" s="1"/>
  <c r="P248" i="27"/>
  <c r="R248" i="27" s="1"/>
  <c r="T248" i="27" s="1"/>
  <c r="V248" i="27" s="1"/>
  <c r="P260" i="27"/>
  <c r="R260" i="27" s="1"/>
  <c r="T260" i="27" s="1"/>
  <c r="I72" i="24" s="1"/>
  <c r="L72" i="24" s="1"/>
  <c r="P355" i="27"/>
  <c r="R355" i="27" s="1"/>
  <c r="T355" i="27" s="1"/>
  <c r="V355" i="27" s="1"/>
  <c r="P118" i="27"/>
  <c r="R118" i="27" s="1"/>
  <c r="T118" i="27" s="1"/>
  <c r="V118" i="27" s="1"/>
  <c r="P162" i="27"/>
  <c r="R162" i="27" s="1"/>
  <c r="T162" i="27" s="1"/>
  <c r="V162" i="27" s="1"/>
  <c r="P97" i="27"/>
  <c r="R97" i="27" s="1"/>
  <c r="T97" i="27" s="1"/>
  <c r="I109" i="17" s="1"/>
  <c r="L109" i="17" s="1"/>
  <c r="P36" i="27"/>
  <c r="R36" i="27" s="1"/>
  <c r="T36" i="27" s="1"/>
  <c r="I98" i="11" s="1"/>
  <c r="L98" i="11" s="1"/>
  <c r="P283" i="27"/>
  <c r="R283" i="27" s="1"/>
  <c r="T283" i="27" s="1"/>
  <c r="V283" i="27" s="1"/>
  <c r="P160" i="27"/>
  <c r="R160" i="27" s="1"/>
  <c r="T160" i="27" s="1"/>
  <c r="V160" i="27" s="1"/>
  <c r="P64" i="27"/>
  <c r="R64" i="27" s="1"/>
  <c r="T64" i="27" s="1"/>
  <c r="V64" i="27" s="1"/>
  <c r="P59" i="27"/>
  <c r="R59" i="27" s="1"/>
  <c r="T59" i="27" s="1"/>
  <c r="V59" i="27" s="1"/>
  <c r="P125" i="27"/>
  <c r="R125" i="27" s="1"/>
  <c r="T125" i="27" s="1"/>
  <c r="I87" i="18" s="1"/>
  <c r="L87" i="18" s="1"/>
  <c r="P142" i="27"/>
  <c r="R142" i="27" s="1"/>
  <c r="T142" i="27" s="1"/>
  <c r="V142" i="27" s="1"/>
  <c r="P168" i="27"/>
  <c r="R168" i="27" s="1"/>
  <c r="T168" i="27" s="1"/>
  <c r="I80" i="21" s="1"/>
  <c r="L80" i="21" s="1"/>
  <c r="P241" i="27"/>
  <c r="R241" i="27" s="1"/>
  <c r="T241" i="27" s="1"/>
  <c r="I103" i="23" s="1"/>
  <c r="L103" i="23" s="1"/>
  <c r="P397" i="27"/>
  <c r="R397" i="27" s="1"/>
  <c r="T397" i="27" s="1"/>
  <c r="I109" i="26" s="1"/>
  <c r="L109" i="26" s="1"/>
  <c r="P164" i="27"/>
  <c r="R164" i="27" s="1"/>
  <c r="T164" i="27" s="1"/>
  <c r="V164" i="27" s="1"/>
  <c r="P76" i="27"/>
  <c r="R76" i="27" s="1"/>
  <c r="T76" i="27" s="1"/>
  <c r="V76" i="27" s="1"/>
  <c r="P290" i="27"/>
  <c r="R290" i="27" s="1"/>
  <c r="T290" i="27" s="1"/>
  <c r="I102" i="24" s="1"/>
  <c r="L102" i="24" s="1"/>
  <c r="P216" i="27"/>
  <c r="R216" i="27" s="1"/>
  <c r="T216" i="27" s="1"/>
  <c r="I78" i="23" s="1"/>
  <c r="L78" i="23" s="1"/>
  <c r="P190" i="27"/>
  <c r="R190" i="27" s="1"/>
  <c r="T190" i="27" s="1"/>
  <c r="I102" i="21" s="1"/>
  <c r="L102" i="21" s="1"/>
  <c r="P40" i="27"/>
  <c r="R40" i="27" s="1"/>
  <c r="T40" i="27" s="1"/>
  <c r="V40" i="27" s="1"/>
  <c r="P396" i="27"/>
  <c r="R396" i="27" s="1"/>
  <c r="T396" i="27" s="1"/>
  <c r="V396" i="27" s="1"/>
  <c r="P297" i="27"/>
  <c r="R297" i="27" s="1"/>
  <c r="T297" i="27" s="1"/>
  <c r="V297" i="27" s="1"/>
  <c r="P159" i="27"/>
  <c r="R159" i="27" s="1"/>
  <c r="T159" i="27" s="1"/>
  <c r="V159" i="27" s="1"/>
  <c r="P73" i="27"/>
  <c r="R73" i="27" s="1"/>
  <c r="T73" i="27" s="1"/>
  <c r="I85" i="17" s="1"/>
  <c r="L85" i="17" s="1"/>
  <c r="P38" i="27"/>
  <c r="R38" i="27" s="1"/>
  <c r="T38" i="27" s="1"/>
  <c r="I100" i="11" s="1"/>
  <c r="L100" i="11" s="1"/>
  <c r="P387" i="27"/>
  <c r="R387" i="27" s="1"/>
  <c r="T387" i="27" s="1"/>
  <c r="V387" i="27" s="1"/>
  <c r="P363" i="27"/>
  <c r="R363" i="27" s="1"/>
  <c r="T363" i="27" s="1"/>
  <c r="V363" i="27" s="1"/>
  <c r="P214" i="27"/>
  <c r="R214" i="27" s="1"/>
  <c r="T214" i="27" s="1"/>
  <c r="I76" i="23" s="1"/>
  <c r="L76" i="23" s="1"/>
  <c r="P88" i="27"/>
  <c r="R88" i="27" s="1"/>
  <c r="T88" i="27" s="1"/>
  <c r="V88" i="27" s="1"/>
  <c r="P211" i="27"/>
  <c r="R211" i="27" s="1"/>
  <c r="T211" i="27" s="1"/>
  <c r="V211" i="27" s="1"/>
  <c r="P6" i="27"/>
  <c r="R6" i="27" s="1"/>
  <c r="T6" i="27" s="1"/>
  <c r="V6" i="27" s="1"/>
  <c r="D34" i="20"/>
  <c r="K34" i="20" s="1"/>
  <c r="M34" i="20" s="1"/>
  <c r="P344" i="27"/>
  <c r="R344" i="27" s="1"/>
  <c r="T344" i="27" s="1"/>
  <c r="V344" i="27" s="1"/>
  <c r="D30" i="20"/>
  <c r="K30" i="20" s="1"/>
  <c r="M30" i="20" s="1"/>
  <c r="P39" i="27"/>
  <c r="R39" i="27" s="1"/>
  <c r="T39" i="27" s="1"/>
  <c r="I101" i="11" s="1"/>
  <c r="L101" i="11" s="1"/>
  <c r="P4" i="27"/>
  <c r="R4" i="27" s="1"/>
  <c r="T4" i="27" s="1"/>
  <c r="I66" i="11" s="1"/>
  <c r="P154" i="27"/>
  <c r="R154" i="27" s="1"/>
  <c r="T154" i="27" s="1"/>
  <c r="P193" i="27"/>
  <c r="R193" i="27" s="1"/>
  <c r="T193" i="27" s="1"/>
  <c r="V193" i="27" s="1"/>
  <c r="P224" i="27"/>
  <c r="R224" i="27" s="1"/>
  <c r="T224" i="27" s="1"/>
  <c r="V224" i="27" s="1"/>
  <c r="P89" i="27"/>
  <c r="R89" i="27" s="1"/>
  <c r="T89" i="27" s="1"/>
  <c r="V89" i="27" s="1"/>
  <c r="P272" i="27"/>
  <c r="R272" i="27" s="1"/>
  <c r="T272" i="27" s="1"/>
  <c r="I84" i="24" s="1"/>
  <c r="L84" i="24" s="1"/>
  <c r="P326" i="27"/>
  <c r="R326" i="27" s="1"/>
  <c r="T326" i="27" s="1"/>
  <c r="V326" i="27" s="1"/>
  <c r="P206" i="27"/>
  <c r="R206" i="27" s="1"/>
  <c r="T206" i="27" s="1"/>
  <c r="V206" i="27" s="1"/>
  <c r="P187" i="27"/>
  <c r="R187" i="27" s="1"/>
  <c r="T187" i="27" s="1"/>
  <c r="V187" i="27" s="1"/>
  <c r="P95" i="27"/>
  <c r="R95" i="27" s="1"/>
  <c r="T95" i="27" s="1"/>
  <c r="V95" i="27" s="1"/>
  <c r="P223" i="27"/>
  <c r="R223" i="27" s="1"/>
  <c r="T223" i="27" s="1"/>
  <c r="V223" i="27" s="1"/>
  <c r="P42" i="27"/>
  <c r="R42" i="27" s="1"/>
  <c r="T42" i="27" s="1"/>
  <c r="I104" i="11" s="1"/>
  <c r="L104" i="11" s="1"/>
  <c r="P155" i="27"/>
  <c r="R155" i="27" s="1"/>
  <c r="T155" i="27" s="1"/>
  <c r="I67" i="21" s="1"/>
  <c r="L67" i="21" s="1"/>
  <c r="P138" i="27"/>
  <c r="R138" i="27" s="1"/>
  <c r="T138" i="27" s="1"/>
  <c r="I100" i="18" s="1"/>
  <c r="L100" i="18" s="1"/>
  <c r="P384" i="27"/>
  <c r="R384" i="27" s="1"/>
  <c r="T384" i="27" s="1"/>
  <c r="V384" i="27" s="1"/>
  <c r="P270" i="27"/>
  <c r="R270" i="27" s="1"/>
  <c r="T270" i="27" s="1"/>
  <c r="V270" i="27" s="1"/>
  <c r="P192" i="27"/>
  <c r="R192" i="27" s="1"/>
  <c r="T192" i="27" s="1"/>
  <c r="I104" i="21" s="1"/>
  <c r="L104" i="21" s="1"/>
  <c r="P85" i="27"/>
  <c r="R85" i="27" s="1"/>
  <c r="T85" i="27" s="1"/>
  <c r="V85" i="27" s="1"/>
  <c r="P257" i="27"/>
  <c r="R257" i="27" s="1"/>
  <c r="T257" i="27" s="1"/>
  <c r="V257" i="27" s="1"/>
  <c r="P171" i="27"/>
  <c r="R171" i="27" s="1"/>
  <c r="T171" i="27" s="1"/>
  <c r="V171" i="27" s="1"/>
  <c r="P45" i="27"/>
  <c r="R45" i="27" s="1"/>
  <c r="T45" i="27" s="1"/>
  <c r="I107" i="11" s="1"/>
  <c r="L107" i="11" s="1"/>
  <c r="P7" i="27"/>
  <c r="R7" i="27" s="1"/>
  <c r="T7" i="27" s="1"/>
  <c r="V7" i="27" s="1"/>
  <c r="P309" i="27"/>
  <c r="R309" i="27" s="1"/>
  <c r="T309" i="27" s="1"/>
  <c r="V309" i="27" s="1"/>
  <c r="P386" i="27"/>
  <c r="R386" i="27" s="1"/>
  <c r="T386" i="27" s="1"/>
  <c r="V386" i="27" s="1"/>
  <c r="P218" i="27"/>
  <c r="R218" i="27" s="1"/>
  <c r="T218" i="27" s="1"/>
  <c r="V218" i="27" s="1"/>
  <c r="P178" i="27"/>
  <c r="R178" i="27" s="1"/>
  <c r="T178" i="27" s="1"/>
  <c r="V178" i="27" s="1"/>
  <c r="P210" i="27"/>
  <c r="R210" i="27" s="1"/>
  <c r="T210" i="27" s="1"/>
  <c r="V210" i="27" s="1"/>
  <c r="P161" i="27"/>
  <c r="R161" i="27" s="1"/>
  <c r="T161" i="27" s="1"/>
  <c r="V161" i="27" s="1"/>
  <c r="P291" i="27"/>
  <c r="R291" i="27" s="1"/>
  <c r="T291" i="27" s="1"/>
  <c r="V291" i="27" s="1"/>
  <c r="P215" i="27"/>
  <c r="R215" i="27" s="1"/>
  <c r="T215" i="27" s="1"/>
  <c r="I77" i="23" s="1"/>
  <c r="L77" i="23" s="1"/>
  <c r="P94" i="27"/>
  <c r="R94" i="27" s="1"/>
  <c r="T94" i="27" s="1"/>
  <c r="V94" i="27" s="1"/>
  <c r="P156" i="27"/>
  <c r="R156" i="27" s="1"/>
  <c r="T156" i="27" s="1"/>
  <c r="V156" i="27" s="1"/>
  <c r="P337" i="27"/>
  <c r="R337" i="27" s="1"/>
  <c r="T337" i="27" s="1"/>
  <c r="I99" i="25" s="1"/>
  <c r="L99" i="25" s="1"/>
  <c r="P340" i="27"/>
  <c r="R340" i="27" s="1"/>
  <c r="T340" i="27" s="1"/>
  <c r="V340" i="27" s="1"/>
  <c r="P5" i="27"/>
  <c r="R5" i="27" s="1"/>
  <c r="T5" i="27" s="1"/>
  <c r="V5" i="27" s="1"/>
  <c r="P374" i="27"/>
  <c r="R374" i="27" s="1"/>
  <c r="T374" i="27" s="1"/>
  <c r="I86" i="26" s="1"/>
  <c r="L86" i="26" s="1"/>
  <c r="P173" i="27"/>
  <c r="R173" i="27" s="1"/>
  <c r="T173" i="27" s="1"/>
  <c r="V173" i="27" s="1"/>
  <c r="P176" i="27"/>
  <c r="R176" i="27" s="1"/>
  <c r="T176" i="27" s="1"/>
  <c r="V176" i="27" s="1"/>
  <c r="P275" i="3"/>
  <c r="R275" i="3" s="1"/>
  <c r="T275" i="3" s="1"/>
  <c r="V275" i="3" s="1"/>
  <c r="P279" i="27"/>
  <c r="R279" i="27" s="1"/>
  <c r="T279" i="27" s="1"/>
  <c r="V279" i="27" s="1"/>
  <c r="P217" i="27"/>
  <c r="R217" i="27" s="1"/>
  <c r="T217" i="27" s="1"/>
  <c r="I79" i="23" s="1"/>
  <c r="L79" i="23" s="1"/>
  <c r="P20" i="27"/>
  <c r="R20" i="27" s="1"/>
  <c r="T20" i="27" s="1"/>
  <c r="V20" i="27" s="1"/>
  <c r="P111" i="27"/>
  <c r="R111" i="27" s="1"/>
  <c r="T111" i="27" s="1"/>
  <c r="I73" i="18" s="1"/>
  <c r="L73" i="18" s="1"/>
  <c r="P377" i="27"/>
  <c r="R377" i="27" s="1"/>
  <c r="T377" i="27" s="1"/>
  <c r="V377" i="27" s="1"/>
  <c r="P268" i="27"/>
  <c r="R268" i="27" s="1"/>
  <c r="T268" i="27" s="1"/>
  <c r="V268" i="27" s="1"/>
  <c r="P228" i="27"/>
  <c r="R228" i="27" s="1"/>
  <c r="T228" i="27" s="1"/>
  <c r="V228" i="27" s="1"/>
  <c r="P366" i="27"/>
  <c r="R366" i="27" s="1"/>
  <c r="T366" i="27" s="1"/>
  <c r="V366" i="27" s="1"/>
  <c r="P170" i="27"/>
  <c r="R170" i="27" s="1"/>
  <c r="T170" i="27" s="1"/>
  <c r="V170" i="27" s="1"/>
  <c r="P133" i="27"/>
  <c r="R133" i="27" s="1"/>
  <c r="T133" i="27" s="1"/>
  <c r="I95" i="18" s="1"/>
  <c r="L95" i="18" s="1"/>
  <c r="P273" i="3"/>
  <c r="R273" i="3" s="1"/>
  <c r="T273" i="3" s="1"/>
  <c r="F79" i="16" s="1"/>
  <c r="P264" i="27"/>
  <c r="R264" i="27" s="1"/>
  <c r="T264" i="27" s="1"/>
  <c r="V264" i="27" s="1"/>
  <c r="P376" i="27"/>
  <c r="R376" i="27" s="1"/>
  <c r="T376" i="27" s="1"/>
  <c r="I88" i="26" s="1"/>
  <c r="L88" i="26" s="1"/>
  <c r="P65" i="27"/>
  <c r="R65" i="27" s="1"/>
  <c r="T65" i="27" s="1"/>
  <c r="V65" i="27" s="1"/>
  <c r="P391" i="27"/>
  <c r="R391" i="27" s="1"/>
  <c r="T391" i="27" s="1"/>
  <c r="V391" i="27" s="1"/>
  <c r="P258" i="27"/>
  <c r="R258" i="27" s="1"/>
  <c r="T258" i="27" s="1"/>
  <c r="V258" i="27" s="1"/>
  <c r="P357" i="27"/>
  <c r="R357" i="27" s="1"/>
  <c r="T357" i="27" s="1"/>
  <c r="V357" i="27" s="1"/>
  <c r="P23" i="27"/>
  <c r="R23" i="27" s="1"/>
  <c r="T23" i="27" s="1"/>
  <c r="V23" i="27" s="1"/>
  <c r="P44" i="27"/>
  <c r="R44" i="27" s="1"/>
  <c r="T44" i="27" s="1"/>
  <c r="V44" i="27" s="1"/>
  <c r="P92" i="27"/>
  <c r="R92" i="27" s="1"/>
  <c r="T92" i="27" s="1"/>
  <c r="V92" i="27" s="1"/>
  <c r="P237" i="27"/>
  <c r="R237" i="27" s="1"/>
  <c r="T237" i="27" s="1"/>
  <c r="I99" i="23" s="1"/>
  <c r="L99" i="23" s="1"/>
  <c r="P275" i="27"/>
  <c r="R275" i="27" s="1"/>
  <c r="T275" i="27" s="1"/>
  <c r="V275" i="27" s="1"/>
  <c r="P8" i="27"/>
  <c r="R8" i="27" s="1"/>
  <c r="T8" i="27" s="1"/>
  <c r="V8" i="27" s="1"/>
  <c r="P394" i="27"/>
  <c r="R394" i="27" s="1"/>
  <c r="T394" i="27" s="1"/>
  <c r="V394" i="27" s="1"/>
  <c r="P327" i="27"/>
  <c r="R327" i="27" s="1"/>
  <c r="T327" i="27" s="1"/>
  <c r="I89" i="25" s="1"/>
  <c r="L89" i="25" s="1"/>
  <c r="P231" i="27"/>
  <c r="R231" i="27" s="1"/>
  <c r="T231" i="27" s="1"/>
  <c r="V231" i="27" s="1"/>
  <c r="P362" i="27"/>
  <c r="R362" i="27" s="1"/>
  <c r="T362" i="27" s="1"/>
  <c r="V362" i="27" s="1"/>
  <c r="P375" i="27"/>
  <c r="R375" i="27" s="1"/>
  <c r="T375" i="27" s="1"/>
  <c r="I87" i="26" s="1"/>
  <c r="L87" i="26" s="1"/>
  <c r="P369" i="27"/>
  <c r="R369" i="27" s="1"/>
  <c r="T369" i="27" s="1"/>
  <c r="V369" i="27" s="1"/>
  <c r="P96" i="27"/>
  <c r="R96" i="27" s="1"/>
  <c r="T96" i="27" s="1"/>
  <c r="V96" i="27" s="1"/>
  <c r="P117" i="27"/>
  <c r="R117" i="27" s="1"/>
  <c r="T117" i="27" s="1"/>
  <c r="V117" i="27" s="1"/>
  <c r="P126" i="27"/>
  <c r="R126" i="27" s="1"/>
  <c r="T126" i="27" s="1"/>
  <c r="V126" i="27" s="1"/>
  <c r="P137" i="27"/>
  <c r="R137" i="27" s="1"/>
  <c r="T137" i="27" s="1"/>
  <c r="V137" i="27" s="1"/>
  <c r="P185" i="27"/>
  <c r="R185" i="27" s="1"/>
  <c r="T185" i="27" s="1"/>
  <c r="I97" i="21" s="1"/>
  <c r="L97" i="21" s="1"/>
  <c r="P227" i="27"/>
  <c r="R227" i="27" s="1"/>
  <c r="T227" i="27" s="1"/>
  <c r="V227" i="27" s="1"/>
  <c r="P106" i="27"/>
  <c r="R106" i="27" s="1"/>
  <c r="T106" i="27" s="1"/>
  <c r="I68" i="18" s="1"/>
  <c r="L68" i="18" s="1"/>
  <c r="P174" i="27"/>
  <c r="R174" i="27" s="1"/>
  <c r="T174" i="27" s="1"/>
  <c r="I86" i="21" s="1"/>
  <c r="L86" i="21" s="1"/>
  <c r="P226" i="27"/>
  <c r="R226" i="27" s="1"/>
  <c r="T226" i="27" s="1"/>
  <c r="I88" i="23" s="1"/>
  <c r="L88" i="23" s="1"/>
  <c r="P325" i="27"/>
  <c r="R325" i="27" s="1"/>
  <c r="T325" i="27" s="1"/>
  <c r="I87" i="25" s="1"/>
  <c r="L87" i="25" s="1"/>
  <c r="P378" i="27"/>
  <c r="R378" i="27" s="1"/>
  <c r="T378" i="27" s="1"/>
  <c r="V378" i="27" s="1"/>
  <c r="P195" i="27"/>
  <c r="R195" i="27" s="1"/>
  <c r="T195" i="27" s="1"/>
  <c r="V195" i="27" s="1"/>
  <c r="P144" i="27"/>
  <c r="R144" i="27" s="1"/>
  <c r="T144" i="27" s="1"/>
  <c r="V144" i="27" s="1"/>
  <c r="P104" i="27"/>
  <c r="R104" i="27" s="1"/>
  <c r="T104" i="27" s="1"/>
  <c r="V104" i="27" s="1"/>
  <c r="P58" i="27"/>
  <c r="R58" i="27" s="1"/>
  <c r="T58" i="27" s="1"/>
  <c r="I70" i="17" s="1"/>
  <c r="L70" i="17" s="1"/>
  <c r="P57" i="27"/>
  <c r="R57" i="27" s="1"/>
  <c r="T57" i="27" s="1"/>
  <c r="I69" i="17" s="1"/>
  <c r="L69" i="17" s="1"/>
  <c r="P292" i="27"/>
  <c r="R292" i="27" s="1"/>
  <c r="T292" i="27" s="1"/>
  <c r="I104" i="24" s="1"/>
  <c r="L104" i="24" s="1"/>
  <c r="P124" i="27"/>
  <c r="R124" i="27" s="1"/>
  <c r="T124" i="27" s="1"/>
  <c r="V124" i="27" s="1"/>
  <c r="P307" i="27"/>
  <c r="R307" i="27" s="1"/>
  <c r="T307" i="27" s="1"/>
  <c r="V307" i="27" s="1"/>
  <c r="P91" i="27"/>
  <c r="R91" i="27" s="1"/>
  <c r="T91" i="27" s="1"/>
  <c r="V91" i="27" s="1"/>
  <c r="P271" i="27"/>
  <c r="R271" i="27" s="1"/>
  <c r="T271" i="27" s="1"/>
  <c r="V271" i="27" s="1"/>
  <c r="P9" i="27"/>
  <c r="R9" i="27" s="1"/>
  <c r="T9" i="27" s="1"/>
  <c r="V9" i="27" s="1"/>
  <c r="P368" i="27"/>
  <c r="R368" i="27" s="1"/>
  <c r="T368" i="27" s="1"/>
  <c r="V368" i="27" s="1"/>
  <c r="P259" i="27"/>
  <c r="R259" i="27" s="1"/>
  <c r="T259" i="27" s="1"/>
  <c r="I71" i="24" s="1"/>
  <c r="L71" i="24" s="1"/>
  <c r="P41" i="27"/>
  <c r="R41" i="27" s="1"/>
  <c r="T41" i="27" s="1"/>
  <c r="V41" i="27" s="1"/>
  <c r="P225" i="27"/>
  <c r="R225" i="27" s="1"/>
  <c r="T225" i="27" s="1"/>
  <c r="V225" i="27" s="1"/>
  <c r="P37" i="27"/>
  <c r="R37" i="27" s="1"/>
  <c r="T37" i="27" s="1"/>
  <c r="V37" i="27" s="1"/>
  <c r="P220" i="27"/>
  <c r="R220" i="27" s="1"/>
  <c r="T220" i="27" s="1"/>
  <c r="I82" i="23" s="1"/>
  <c r="L82" i="23" s="1"/>
  <c r="P243" i="27"/>
  <c r="R243" i="27" s="1"/>
  <c r="T243" i="27" s="1"/>
  <c r="I105" i="23" s="1"/>
  <c r="L105" i="23" s="1"/>
  <c r="P31" i="27"/>
  <c r="R31" i="27" s="1"/>
  <c r="T31" i="27" s="1"/>
  <c r="V31" i="27" s="1"/>
  <c r="L47" i="16"/>
  <c r="P294" i="27"/>
  <c r="R294" i="27" s="1"/>
  <c r="T294" i="27" s="1"/>
  <c r="I106" i="24" s="1"/>
  <c r="L106" i="24" s="1"/>
  <c r="P354" i="27"/>
  <c r="R354" i="27" s="1"/>
  <c r="T354" i="27" s="1"/>
  <c r="V354" i="27" s="1"/>
  <c r="P385" i="27"/>
  <c r="R385" i="27" s="1"/>
  <c r="T385" i="27" s="1"/>
  <c r="V385" i="27" s="1"/>
  <c r="P194" i="27"/>
  <c r="R194" i="27" s="1"/>
  <c r="T194" i="27" s="1"/>
  <c r="V194" i="27" s="1"/>
  <c r="P381" i="27"/>
  <c r="R381" i="27" s="1"/>
  <c r="T381" i="27" s="1"/>
  <c r="V381" i="27" s="1"/>
  <c r="P63" i="27"/>
  <c r="R63" i="27" s="1"/>
  <c r="T63" i="27" s="1"/>
  <c r="V63" i="27" s="1"/>
  <c r="P371" i="27"/>
  <c r="R371" i="27" s="1"/>
  <c r="T371" i="27" s="1"/>
  <c r="V371" i="27" s="1"/>
  <c r="P25" i="27"/>
  <c r="R25" i="27" s="1"/>
  <c r="T25" i="27" s="1"/>
  <c r="I87" i="11" s="1"/>
  <c r="L87" i="11" s="1"/>
  <c r="P329" i="27"/>
  <c r="R329" i="27" s="1"/>
  <c r="T329" i="27" s="1"/>
  <c r="I91" i="25" s="1"/>
  <c r="L91" i="25" s="1"/>
  <c r="P277" i="27"/>
  <c r="R277" i="27" s="1"/>
  <c r="T277" i="27" s="1"/>
  <c r="V277" i="27" s="1"/>
  <c r="P395" i="27"/>
  <c r="R395" i="27" s="1"/>
  <c r="T395" i="27" s="1"/>
  <c r="V395" i="27" s="1"/>
  <c r="P261" i="27"/>
  <c r="R261" i="27" s="1"/>
  <c r="T261" i="27" s="1"/>
  <c r="V261" i="27" s="1"/>
  <c r="P235" i="27"/>
  <c r="R235" i="27" s="1"/>
  <c r="T235" i="27" s="1"/>
  <c r="I97" i="23" s="1"/>
  <c r="L97" i="23" s="1"/>
  <c r="P341" i="27"/>
  <c r="R341" i="27" s="1"/>
  <c r="T341" i="27" s="1"/>
  <c r="V341" i="27" s="1"/>
  <c r="P120" i="27"/>
  <c r="R120" i="27" s="1"/>
  <c r="T120" i="27" s="1"/>
  <c r="I82" i="18" s="1"/>
  <c r="L82" i="18" s="1"/>
  <c r="P379" i="27"/>
  <c r="R379" i="27" s="1"/>
  <c r="T379" i="27" s="1"/>
  <c r="V379" i="27" s="1"/>
  <c r="P263" i="27"/>
  <c r="R263" i="27" s="1"/>
  <c r="T263" i="27" s="1"/>
  <c r="I75" i="24" s="1"/>
  <c r="L75" i="24" s="1"/>
  <c r="P180" i="27"/>
  <c r="R180" i="27" s="1"/>
  <c r="T180" i="27" s="1"/>
  <c r="I92" i="21" s="1"/>
  <c r="L92" i="21" s="1"/>
  <c r="P230" i="27"/>
  <c r="R230" i="27" s="1"/>
  <c r="T230" i="27" s="1"/>
  <c r="V230" i="27" s="1"/>
  <c r="P345" i="27"/>
  <c r="R345" i="27" s="1"/>
  <c r="T345" i="27" s="1"/>
  <c r="V345" i="27" s="1"/>
  <c r="P148" i="27"/>
  <c r="R148" i="27" s="1"/>
  <c r="T148" i="27" s="1"/>
  <c r="I110" i="18" s="1"/>
  <c r="L110" i="18" s="1"/>
  <c r="P177" i="27"/>
  <c r="R177" i="27" s="1"/>
  <c r="T177" i="27" s="1"/>
  <c r="I89" i="21" s="1"/>
  <c r="L89" i="21" s="1"/>
  <c r="P315" i="27"/>
  <c r="R315" i="27" s="1"/>
  <c r="T315" i="27" s="1"/>
  <c r="V315" i="27" s="1"/>
  <c r="P105" i="27"/>
  <c r="R105" i="27" s="1"/>
  <c r="T105" i="27" s="1"/>
  <c r="P131" i="27"/>
  <c r="R131" i="27" s="1"/>
  <c r="T131" i="27" s="1"/>
  <c r="I93" i="18" s="1"/>
  <c r="L93" i="18" s="1"/>
  <c r="P108" i="27"/>
  <c r="R108" i="27" s="1"/>
  <c r="T108" i="27" s="1"/>
  <c r="I70" i="18" s="1"/>
  <c r="L70" i="18" s="1"/>
  <c r="P338" i="27"/>
  <c r="R338" i="27" s="1"/>
  <c r="T338" i="27" s="1"/>
  <c r="V338" i="27" s="1"/>
  <c r="P113" i="27"/>
  <c r="R113" i="27" s="1"/>
  <c r="T113" i="27" s="1"/>
  <c r="V113" i="27" s="1"/>
  <c r="P24" i="27"/>
  <c r="R24" i="27" s="1"/>
  <c r="T24" i="27" s="1"/>
  <c r="V24" i="27" s="1"/>
  <c r="P146" i="27"/>
  <c r="R146" i="27" s="1"/>
  <c r="T146" i="27" s="1"/>
  <c r="V146" i="27" s="1"/>
  <c r="P172" i="27"/>
  <c r="R172" i="27" s="1"/>
  <c r="T172" i="27" s="1"/>
  <c r="V172" i="27" s="1"/>
  <c r="P254" i="27"/>
  <c r="R254" i="27" s="1"/>
  <c r="T254" i="27" s="1"/>
  <c r="P90" i="27"/>
  <c r="R90" i="27" s="1"/>
  <c r="T90" i="27" s="1"/>
  <c r="V90" i="27" s="1"/>
  <c r="P269" i="27"/>
  <c r="R269" i="27" s="1"/>
  <c r="T269" i="27" s="1"/>
  <c r="V269" i="27" s="1"/>
  <c r="P304" i="27"/>
  <c r="R304" i="27" s="1"/>
  <c r="T304" i="27" s="1"/>
  <c r="V304" i="27" s="1"/>
  <c r="P205" i="27"/>
  <c r="R205" i="27" s="1"/>
  <c r="T205" i="27" s="1"/>
  <c r="I67" i="23" s="1"/>
  <c r="L67" i="23" s="1"/>
  <c r="P77" i="27"/>
  <c r="R77" i="27" s="1"/>
  <c r="T77" i="27" s="1"/>
  <c r="V77" i="27" s="1"/>
  <c r="P324" i="27"/>
  <c r="R324" i="27" s="1"/>
  <c r="T324" i="27" s="1"/>
  <c r="V324" i="27" s="1"/>
  <c r="P383" i="27"/>
  <c r="R383" i="27" s="1"/>
  <c r="T383" i="27" s="1"/>
  <c r="V383" i="27" s="1"/>
  <c r="P82" i="27"/>
  <c r="R82" i="27" s="1"/>
  <c r="T82" i="27" s="1"/>
  <c r="V82" i="27" s="1"/>
  <c r="P158" i="27"/>
  <c r="R158" i="27" s="1"/>
  <c r="T158" i="27" s="1"/>
  <c r="V158" i="27" s="1"/>
  <c r="P234" i="27"/>
  <c r="R234" i="27" s="1"/>
  <c r="T234" i="27" s="1"/>
  <c r="V234" i="27" s="1"/>
  <c r="P242" i="27"/>
  <c r="R242" i="27" s="1"/>
  <c r="T242" i="27" s="1"/>
  <c r="I104" i="23" s="1"/>
  <c r="L104" i="23" s="1"/>
  <c r="P10" i="27"/>
  <c r="R10" i="27" s="1"/>
  <c r="T10" i="27" s="1"/>
  <c r="V10" i="27" s="1"/>
  <c r="P72" i="27"/>
  <c r="R72" i="27" s="1"/>
  <c r="T72" i="27" s="1"/>
  <c r="V72" i="27" s="1"/>
  <c r="P163" i="27"/>
  <c r="R163" i="27" s="1"/>
  <c r="T163" i="27" s="1"/>
  <c r="V163" i="27" s="1"/>
  <c r="P80" i="27"/>
  <c r="R80" i="27" s="1"/>
  <c r="T80" i="27" s="1"/>
  <c r="V80" i="27" s="1"/>
  <c r="P312" i="27"/>
  <c r="R312" i="27" s="1"/>
  <c r="T312" i="27" s="1"/>
  <c r="I74" i="25" s="1"/>
  <c r="L74" i="25" s="1"/>
  <c r="P347" i="27"/>
  <c r="R347" i="27" s="1"/>
  <c r="T347" i="27" s="1"/>
  <c r="I109" i="25" s="1"/>
  <c r="L109" i="25" s="1"/>
  <c r="P221" i="27"/>
  <c r="R221" i="27" s="1"/>
  <c r="T221" i="27" s="1"/>
  <c r="V221" i="27" s="1"/>
  <c r="P335" i="27"/>
  <c r="R335" i="27" s="1"/>
  <c r="T335" i="27" s="1"/>
  <c r="V335" i="27" s="1"/>
  <c r="P276" i="27"/>
  <c r="R276" i="27" s="1"/>
  <c r="T276" i="27" s="1"/>
  <c r="V276" i="27" s="1"/>
  <c r="P182" i="27"/>
  <c r="R182" i="27" s="1"/>
  <c r="T182" i="27" s="1"/>
  <c r="V182" i="27" s="1"/>
  <c r="P280" i="27"/>
  <c r="R280" i="27" s="1"/>
  <c r="T280" i="27" s="1"/>
  <c r="V280" i="27" s="1"/>
  <c r="P132" i="27"/>
  <c r="R132" i="27" s="1"/>
  <c r="T132" i="27" s="1"/>
  <c r="V132" i="27" s="1"/>
  <c r="P32" i="27"/>
  <c r="R32" i="27" s="1"/>
  <c r="T32" i="27" s="1"/>
  <c r="I94" i="11" s="1"/>
  <c r="L94" i="11" s="1"/>
  <c r="P233" i="27"/>
  <c r="R233" i="27" s="1"/>
  <c r="T233" i="27" s="1"/>
  <c r="V233" i="27" s="1"/>
  <c r="P365" i="27"/>
  <c r="R365" i="27" s="1"/>
  <c r="T365" i="27" s="1"/>
  <c r="V365" i="27" s="1"/>
  <c r="P321" i="27"/>
  <c r="R321" i="27" s="1"/>
  <c r="T321" i="27" s="1"/>
  <c r="I83" i="25" s="1"/>
  <c r="L83" i="25" s="1"/>
  <c r="P196" i="27"/>
  <c r="R196" i="27" s="1"/>
  <c r="T196" i="27" s="1"/>
  <c r="V196" i="27" s="1"/>
  <c r="P255" i="27"/>
  <c r="R255" i="27" s="1"/>
  <c r="T255" i="27" s="1"/>
  <c r="V255" i="27" s="1"/>
  <c r="P167" i="27"/>
  <c r="R167" i="27" s="1"/>
  <c r="T167" i="27" s="1"/>
  <c r="V167" i="27" s="1"/>
  <c r="P274" i="3"/>
  <c r="R274" i="3" s="1"/>
  <c r="T274" i="3" s="1"/>
  <c r="V274" i="3" s="1"/>
  <c r="P334" i="27"/>
  <c r="R334" i="27" s="1"/>
  <c r="T334" i="27" s="1"/>
  <c r="I96" i="25" s="1"/>
  <c r="L96" i="25" s="1"/>
  <c r="P346" i="27"/>
  <c r="R346" i="27" s="1"/>
  <c r="T346" i="27" s="1"/>
  <c r="V346" i="27" s="1"/>
  <c r="P314" i="27"/>
  <c r="R314" i="27" s="1"/>
  <c r="T314" i="27" s="1"/>
  <c r="I76" i="25" s="1"/>
  <c r="L76" i="25" s="1"/>
  <c r="P316" i="27"/>
  <c r="R316" i="27" s="1"/>
  <c r="T316" i="27" s="1"/>
  <c r="I78" i="25" s="1"/>
  <c r="L78" i="25" s="1"/>
  <c r="P358" i="27"/>
  <c r="R358" i="27" s="1"/>
  <c r="T358" i="27" s="1"/>
  <c r="V358" i="27" s="1"/>
  <c r="P245" i="27"/>
  <c r="R245" i="27" s="1"/>
  <c r="T245" i="27" s="1"/>
  <c r="V245" i="27" s="1"/>
  <c r="P390" i="27"/>
  <c r="R390" i="27" s="1"/>
  <c r="T390" i="27" s="1"/>
  <c r="V390" i="27" s="1"/>
  <c r="P286" i="27"/>
  <c r="R286" i="27" s="1"/>
  <c r="T286" i="27" s="1"/>
  <c r="V286" i="27" s="1"/>
  <c r="P313" i="27"/>
  <c r="R313" i="27" s="1"/>
  <c r="T313" i="27" s="1"/>
  <c r="V313" i="27" s="1"/>
  <c r="P382" i="27"/>
  <c r="R382" i="27" s="1"/>
  <c r="T382" i="27" s="1"/>
  <c r="I94" i="26" s="1"/>
  <c r="L94" i="26" s="1"/>
  <c r="P229" i="27"/>
  <c r="R229" i="27" s="1"/>
  <c r="T229" i="27" s="1"/>
  <c r="V229" i="27" s="1"/>
  <c r="P145" i="27"/>
  <c r="R145" i="27" s="1"/>
  <c r="T145" i="27" s="1"/>
  <c r="V145" i="27" s="1"/>
  <c r="P134" i="27"/>
  <c r="R134" i="27" s="1"/>
  <c r="T134" i="27" s="1"/>
  <c r="V134" i="27" s="1"/>
  <c r="P372" i="27"/>
  <c r="R372" i="27" s="1"/>
  <c r="T372" i="27" s="1"/>
  <c r="V372" i="27" s="1"/>
  <c r="P55" i="27"/>
  <c r="R55" i="27" s="1"/>
  <c r="T55" i="27" s="1"/>
  <c r="V55" i="27" s="1"/>
  <c r="P139" i="27"/>
  <c r="R139" i="27" s="1"/>
  <c r="T139" i="27" s="1"/>
  <c r="V139" i="27" s="1"/>
  <c r="P256" i="27"/>
  <c r="R256" i="27" s="1"/>
  <c r="T256" i="27" s="1"/>
  <c r="V256" i="27" s="1"/>
  <c r="P398" i="27"/>
  <c r="R398" i="27" s="1"/>
  <c r="T398" i="27" s="1"/>
  <c r="V398" i="27" s="1"/>
  <c r="P14" i="27"/>
  <c r="R14" i="27" s="1"/>
  <c r="T14" i="27" s="1"/>
  <c r="V14" i="27" s="1"/>
  <c r="P213" i="27"/>
  <c r="R213" i="27" s="1"/>
  <c r="T213" i="27" s="1"/>
  <c r="V213" i="27" s="1"/>
  <c r="P119" i="27"/>
  <c r="R119" i="27" s="1"/>
  <c r="T119" i="27" s="1"/>
  <c r="V119" i="27" s="1"/>
  <c r="P128" i="27"/>
  <c r="R128" i="27" s="1"/>
  <c r="T128" i="27" s="1"/>
  <c r="V128" i="27" s="1"/>
  <c r="P323" i="27"/>
  <c r="R323" i="27" s="1"/>
  <c r="T323" i="27" s="1"/>
  <c r="I85" i="25" s="1"/>
  <c r="L85" i="25" s="1"/>
  <c r="P46" i="27"/>
  <c r="R46" i="27" s="1"/>
  <c r="T46" i="27" s="1"/>
  <c r="V46" i="27" s="1"/>
  <c r="P287" i="27"/>
  <c r="R287" i="27" s="1"/>
  <c r="T287" i="27" s="1"/>
  <c r="V287" i="27" s="1"/>
  <c r="P285" i="27"/>
  <c r="R285" i="27" s="1"/>
  <c r="T285" i="27" s="1"/>
  <c r="V285" i="27" s="1"/>
  <c r="P123" i="27"/>
  <c r="R123" i="27" s="1"/>
  <c r="T123" i="27" s="1"/>
  <c r="V123" i="27" s="1"/>
  <c r="P68" i="27"/>
  <c r="R68" i="27" s="1"/>
  <c r="T68" i="27" s="1"/>
  <c r="V68" i="27" s="1"/>
  <c r="P26" i="27"/>
  <c r="R26" i="27" s="1"/>
  <c r="T26" i="27" s="1"/>
  <c r="I88" i="11" s="1"/>
  <c r="L88" i="11" s="1"/>
  <c r="P246" i="27"/>
  <c r="R246" i="27" s="1"/>
  <c r="T246" i="27" s="1"/>
  <c r="I108" i="23" s="1"/>
  <c r="L108" i="23" s="1"/>
  <c r="P277" i="3"/>
  <c r="R277" i="3" s="1"/>
  <c r="T277" i="3" s="1"/>
  <c r="V277" i="3" s="1"/>
  <c r="P66" i="27"/>
  <c r="R66" i="27" s="1"/>
  <c r="T66" i="27" s="1"/>
  <c r="V66" i="27" s="1"/>
  <c r="P116" i="27"/>
  <c r="R116" i="27" s="1"/>
  <c r="T116" i="27" s="1"/>
  <c r="I78" i="18" s="1"/>
  <c r="L78" i="18" s="1"/>
  <c r="P361" i="27"/>
  <c r="R361" i="27" s="1"/>
  <c r="T361" i="27" s="1"/>
  <c r="V361" i="27" s="1"/>
  <c r="P166" i="27"/>
  <c r="R166" i="27" s="1"/>
  <c r="T166" i="27" s="1"/>
  <c r="V166" i="27" s="1"/>
  <c r="P310" i="27"/>
  <c r="R310" i="27" s="1"/>
  <c r="T310" i="27" s="1"/>
  <c r="V310" i="27" s="1"/>
  <c r="P278" i="27"/>
  <c r="R278" i="27" s="1"/>
  <c r="T278" i="27" s="1"/>
  <c r="V278" i="27" s="1"/>
  <c r="P54" i="27"/>
  <c r="R54" i="27" s="1"/>
  <c r="T54" i="27" s="1"/>
  <c r="I66" i="17" s="1"/>
  <c r="P83" i="27"/>
  <c r="R83" i="27" s="1"/>
  <c r="T83" i="27" s="1"/>
  <c r="I95" i="17" s="1"/>
  <c r="L95" i="17" s="1"/>
  <c r="G25" i="9"/>
  <c r="F25" i="9" s="1"/>
  <c r="E25" i="9" s="1"/>
  <c r="D25" i="9" s="1"/>
  <c r="I74" i="11" l="1"/>
  <c r="L74" i="11" s="1"/>
  <c r="I93" i="24"/>
  <c r="L93" i="24" s="1"/>
  <c r="I105" i="11"/>
  <c r="L105" i="11" s="1"/>
  <c r="I72" i="21"/>
  <c r="L72" i="21" s="1"/>
  <c r="I101" i="25"/>
  <c r="L101" i="25" s="1"/>
  <c r="I92" i="11"/>
  <c r="L92" i="11" s="1"/>
  <c r="I84" i="25"/>
  <c r="L84" i="25" s="1"/>
  <c r="I73" i="23"/>
  <c r="L73" i="23" s="1"/>
  <c r="I90" i="26"/>
  <c r="L90" i="26" s="1"/>
  <c r="I70" i="24"/>
  <c r="L70" i="24" s="1"/>
  <c r="I97" i="26"/>
  <c r="L97" i="26" s="1"/>
  <c r="I106" i="17"/>
  <c r="L106" i="17" s="1"/>
  <c r="I68" i="25"/>
  <c r="L68" i="25" s="1"/>
  <c r="F85" i="16"/>
  <c r="I94" i="23"/>
  <c r="L94" i="23" s="1"/>
  <c r="I95" i="26"/>
  <c r="L95" i="26" s="1"/>
  <c r="I85" i="24"/>
  <c r="L85" i="24" s="1"/>
  <c r="I97" i="25"/>
  <c r="L97" i="25" s="1"/>
  <c r="I81" i="21"/>
  <c r="L81" i="21" s="1"/>
  <c r="V169" i="27"/>
  <c r="I90" i="17"/>
  <c r="L90" i="17" s="1"/>
  <c r="I88" i="25"/>
  <c r="L88" i="25" s="1"/>
  <c r="I101" i="21"/>
  <c r="L101" i="21" s="1"/>
  <c r="V189" i="27"/>
  <c r="I89" i="26"/>
  <c r="L89" i="26" s="1"/>
  <c r="I91" i="17"/>
  <c r="L91" i="17" s="1"/>
  <c r="I68" i="11"/>
  <c r="L68" i="11" s="1"/>
  <c r="I68" i="23"/>
  <c r="L68" i="23" s="1"/>
  <c r="I76" i="17"/>
  <c r="L76" i="17" s="1"/>
  <c r="I102" i="23"/>
  <c r="L102" i="23" s="1"/>
  <c r="I98" i="21"/>
  <c r="L98" i="21" s="1"/>
  <c r="I71" i="23"/>
  <c r="L71" i="23" s="1"/>
  <c r="I83" i="21"/>
  <c r="L83" i="21" s="1"/>
  <c r="I102" i="11"/>
  <c r="L102" i="11" s="1"/>
  <c r="I94" i="17"/>
  <c r="L94" i="17" s="1"/>
  <c r="V317" i="27"/>
  <c r="I88" i="24"/>
  <c r="L88" i="24" s="1"/>
  <c r="I107" i="21"/>
  <c r="L107" i="21" s="1"/>
  <c r="I100" i="25"/>
  <c r="L100" i="25" s="1"/>
  <c r="I75" i="18"/>
  <c r="L75" i="18" s="1"/>
  <c r="I74" i="17"/>
  <c r="L74" i="17" s="1"/>
  <c r="I106" i="21"/>
  <c r="L106" i="21" s="1"/>
  <c r="I90" i="11"/>
  <c r="L90" i="11" s="1"/>
  <c r="I68" i="21"/>
  <c r="L68" i="21" s="1"/>
  <c r="I106" i="25"/>
  <c r="L106" i="25" s="1"/>
  <c r="V319" i="27"/>
  <c r="I80" i="26"/>
  <c r="L80" i="26" s="1"/>
  <c r="I105" i="18"/>
  <c r="L105" i="18" s="1"/>
  <c r="V373" i="27"/>
  <c r="V29" i="27"/>
  <c r="I91" i="11"/>
  <c r="L91" i="11" s="1"/>
  <c r="I79" i="26"/>
  <c r="L79" i="26" s="1"/>
  <c r="I91" i="26"/>
  <c r="L91" i="26" s="1"/>
  <c r="I100" i="23"/>
  <c r="L100" i="23" s="1"/>
  <c r="I72" i="25"/>
  <c r="L72" i="25" s="1"/>
  <c r="I81" i="26"/>
  <c r="L81" i="26" s="1"/>
  <c r="I104" i="25"/>
  <c r="L104" i="25" s="1"/>
  <c r="I96" i="17"/>
  <c r="L96" i="17" s="1"/>
  <c r="I69" i="26"/>
  <c r="L69" i="26" s="1"/>
  <c r="I96" i="18"/>
  <c r="L96" i="18" s="1"/>
  <c r="V60" i="27"/>
  <c r="I72" i="17"/>
  <c r="L72" i="17" s="1"/>
  <c r="I82" i="17"/>
  <c r="L82" i="17" s="1"/>
  <c r="V70" i="27"/>
  <c r="V120" i="27"/>
  <c r="V125" i="27"/>
  <c r="I73" i="11"/>
  <c r="L73" i="11" s="1"/>
  <c r="V11" i="27"/>
  <c r="I108" i="18"/>
  <c r="L108" i="18" s="1"/>
  <c r="V111" i="27"/>
  <c r="V190" i="27"/>
  <c r="V197" i="27"/>
  <c r="V375" i="27"/>
  <c r="V334" i="27"/>
  <c r="I107" i="18"/>
  <c r="L107" i="18" s="1"/>
  <c r="I67" i="11"/>
  <c r="L67" i="11" s="1"/>
  <c r="I108" i="11"/>
  <c r="L108" i="11" s="1"/>
  <c r="I66" i="18"/>
  <c r="L66" i="18" s="1"/>
  <c r="I83" i="17"/>
  <c r="L83" i="17" s="1"/>
  <c r="I69" i="11"/>
  <c r="L69" i="11" s="1"/>
  <c r="I70" i="23"/>
  <c r="L70" i="23" s="1"/>
  <c r="I66" i="23"/>
  <c r="L66" i="23" s="1"/>
  <c r="I107" i="17"/>
  <c r="L107" i="17" s="1"/>
  <c r="V180" i="27"/>
  <c r="I67" i="25"/>
  <c r="L67" i="25" s="1"/>
  <c r="V129" i="27"/>
  <c r="I103" i="11"/>
  <c r="L103" i="11" s="1"/>
  <c r="I96" i="23"/>
  <c r="L96" i="23" s="1"/>
  <c r="I92" i="24"/>
  <c r="L92" i="24" s="1"/>
  <c r="I71" i="18"/>
  <c r="L71" i="18" s="1"/>
  <c r="I90" i="23"/>
  <c r="L90" i="23" s="1"/>
  <c r="I109" i="24"/>
  <c r="L109" i="24" s="1"/>
  <c r="I79" i="18"/>
  <c r="L79" i="18" s="1"/>
  <c r="I102" i="25"/>
  <c r="L102" i="25" s="1"/>
  <c r="I75" i="17"/>
  <c r="L75" i="17" s="1"/>
  <c r="I106" i="11"/>
  <c r="L106" i="11" s="1"/>
  <c r="I95" i="25"/>
  <c r="L95" i="25" s="1"/>
  <c r="I71" i="21"/>
  <c r="L71" i="21" s="1"/>
  <c r="I84" i="23"/>
  <c r="L84" i="23" s="1"/>
  <c r="I67" i="17"/>
  <c r="L67" i="17" s="1"/>
  <c r="I96" i="11"/>
  <c r="L96" i="11" s="1"/>
  <c r="I85" i="23"/>
  <c r="L85" i="23" s="1"/>
  <c r="I77" i="11"/>
  <c r="L77" i="11" s="1"/>
  <c r="I110" i="11"/>
  <c r="L110" i="11" s="1"/>
  <c r="I71" i="25"/>
  <c r="L71" i="25" s="1"/>
  <c r="I98" i="26"/>
  <c r="L98" i="26" s="1"/>
  <c r="I72" i="18"/>
  <c r="L72" i="18" s="1"/>
  <c r="I87" i="23"/>
  <c r="L87" i="23" s="1"/>
  <c r="I84" i="18"/>
  <c r="L84" i="18" s="1"/>
  <c r="I104" i="18"/>
  <c r="L104" i="18" s="1"/>
  <c r="I83" i="26"/>
  <c r="L83" i="26" s="1"/>
  <c r="I78" i="26"/>
  <c r="L78" i="26" s="1"/>
  <c r="I90" i="25"/>
  <c r="L90" i="25" s="1"/>
  <c r="I88" i="18"/>
  <c r="L88" i="18" s="1"/>
  <c r="I84" i="21"/>
  <c r="L84" i="21" s="1"/>
  <c r="I110" i="23"/>
  <c r="L110" i="23" s="1"/>
  <c r="I92" i="23"/>
  <c r="L92" i="23" s="1"/>
  <c r="I105" i="26"/>
  <c r="L105" i="26" s="1"/>
  <c r="I110" i="17"/>
  <c r="L110" i="17" s="1"/>
  <c r="I109" i="11"/>
  <c r="L109" i="11" s="1"/>
  <c r="I74" i="23"/>
  <c r="L74" i="23" s="1"/>
  <c r="I104" i="17"/>
  <c r="L104" i="17" s="1"/>
  <c r="I80" i="24"/>
  <c r="L80" i="24" s="1"/>
  <c r="I99" i="21"/>
  <c r="L99" i="21" s="1"/>
  <c r="I84" i="26"/>
  <c r="L84" i="26" s="1"/>
  <c r="V263" i="27"/>
  <c r="V87" i="27"/>
  <c r="V337" i="27"/>
  <c r="I93" i="26"/>
  <c r="L93" i="26" s="1"/>
  <c r="V107" i="27"/>
  <c r="I108" i="26"/>
  <c r="L108" i="26" s="1"/>
  <c r="I99" i="24"/>
  <c r="L99" i="24" s="1"/>
  <c r="I90" i="24"/>
  <c r="L90" i="24" s="1"/>
  <c r="I106" i="18"/>
  <c r="L106" i="18" s="1"/>
  <c r="I79" i="17"/>
  <c r="L79" i="17" s="1"/>
  <c r="I107" i="24"/>
  <c r="L107" i="24" s="1"/>
  <c r="I71" i="17"/>
  <c r="L71" i="17" s="1"/>
  <c r="I92" i="25"/>
  <c r="L92" i="25" s="1"/>
  <c r="V45" i="27"/>
  <c r="V259" i="27"/>
  <c r="I81" i="17"/>
  <c r="L81" i="17" s="1"/>
  <c r="I87" i="21"/>
  <c r="L87" i="21" s="1"/>
  <c r="I74" i="18"/>
  <c r="L74" i="18" s="1"/>
  <c r="I70" i="21"/>
  <c r="L70" i="21" s="1"/>
  <c r="V219" i="27"/>
  <c r="I108" i="17"/>
  <c r="L108" i="17" s="1"/>
  <c r="I76" i="18"/>
  <c r="L76" i="18" s="1"/>
  <c r="I101" i="23"/>
  <c r="L101" i="23" s="1"/>
  <c r="I101" i="18"/>
  <c r="L101" i="18" s="1"/>
  <c r="I78" i="21"/>
  <c r="L78" i="21" s="1"/>
  <c r="V323" i="27"/>
  <c r="F81" i="16"/>
  <c r="L81" i="16" s="1"/>
  <c r="I69" i="24"/>
  <c r="L69" i="24" s="1"/>
  <c r="I71" i="11"/>
  <c r="L71" i="11" s="1"/>
  <c r="V242" i="27"/>
  <c r="V314" i="27"/>
  <c r="I108" i="25"/>
  <c r="L108" i="25" s="1"/>
  <c r="I86" i="11"/>
  <c r="L86" i="11" s="1"/>
  <c r="I85" i="11"/>
  <c r="L85" i="11" s="1"/>
  <c r="I94" i="21"/>
  <c r="L94" i="21" s="1"/>
  <c r="I75" i="26"/>
  <c r="L75" i="26" s="1"/>
  <c r="I77" i="25"/>
  <c r="L77" i="25" s="1"/>
  <c r="I104" i="26"/>
  <c r="L104" i="26" s="1"/>
  <c r="I94" i="18"/>
  <c r="L94" i="18" s="1"/>
  <c r="I100" i="21"/>
  <c r="L100" i="21" s="1"/>
  <c r="I106" i="26"/>
  <c r="L106" i="26" s="1"/>
  <c r="I66" i="25"/>
  <c r="L66" i="25" s="1"/>
  <c r="I101" i="26"/>
  <c r="L101" i="26" s="1"/>
  <c r="I96" i="26"/>
  <c r="L96" i="26" s="1"/>
  <c r="I96" i="24"/>
  <c r="L96" i="24" s="1"/>
  <c r="I101" i="24"/>
  <c r="L101" i="24" s="1"/>
  <c r="I97" i="11"/>
  <c r="L97" i="11" s="1"/>
  <c r="I93" i="17"/>
  <c r="L93" i="17" s="1"/>
  <c r="I105" i="21"/>
  <c r="L105" i="21" s="1"/>
  <c r="I76" i="26"/>
  <c r="L76" i="26" s="1"/>
  <c r="I94" i="25"/>
  <c r="L94" i="25" s="1"/>
  <c r="I77" i="24"/>
  <c r="L77" i="24" s="1"/>
  <c r="I106" i="23"/>
  <c r="L106" i="23" s="1"/>
  <c r="I75" i="23"/>
  <c r="L75" i="23" s="1"/>
  <c r="F87" i="16"/>
  <c r="I78" i="24"/>
  <c r="L78" i="24" s="1"/>
  <c r="I86" i="18"/>
  <c r="L86" i="18" s="1"/>
  <c r="V321" i="27"/>
  <c r="F83" i="16"/>
  <c r="I74" i="21"/>
  <c r="L74" i="21" s="1"/>
  <c r="I89" i="18"/>
  <c r="L89" i="18" s="1"/>
  <c r="V316" i="27"/>
  <c r="I107" i="26"/>
  <c r="L107" i="26" s="1"/>
  <c r="I77" i="21"/>
  <c r="L77" i="21" s="1"/>
  <c r="I89" i="11"/>
  <c r="L89" i="11" s="1"/>
  <c r="I72" i="23"/>
  <c r="L72" i="23" s="1"/>
  <c r="I70" i="25"/>
  <c r="L70" i="25" s="1"/>
  <c r="I76" i="24"/>
  <c r="L76" i="24" s="1"/>
  <c r="I93" i="11"/>
  <c r="L93" i="11" s="1"/>
  <c r="V106" i="27"/>
  <c r="V39" i="27"/>
  <c r="I76" i="21"/>
  <c r="L76" i="21" s="1"/>
  <c r="I92" i="17"/>
  <c r="L92" i="17" s="1"/>
  <c r="I98" i="24"/>
  <c r="L98" i="24" s="1"/>
  <c r="V237" i="27"/>
  <c r="V148" i="27"/>
  <c r="V13" i="27"/>
  <c r="V133" i="27"/>
  <c r="V97" i="27"/>
  <c r="I87" i="24"/>
  <c r="L87" i="24" s="1"/>
  <c r="I83" i="18"/>
  <c r="L83" i="18" s="1"/>
  <c r="I102" i="17"/>
  <c r="L102" i="17" s="1"/>
  <c r="I98" i="18"/>
  <c r="L98" i="18" s="1"/>
  <c r="I109" i="23"/>
  <c r="L109" i="23" s="1"/>
  <c r="I88" i="17"/>
  <c r="L88" i="17" s="1"/>
  <c r="I95" i="23"/>
  <c r="L95" i="23" s="1"/>
  <c r="I108" i="24"/>
  <c r="L108" i="24" s="1"/>
  <c r="I78" i="17"/>
  <c r="L78" i="17" s="1"/>
  <c r="V93" i="27"/>
  <c r="V185" i="27"/>
  <c r="V57" i="27"/>
  <c r="I82" i="24"/>
  <c r="L82" i="24" s="1"/>
  <c r="V25" i="27"/>
  <c r="I77" i="18"/>
  <c r="L77" i="18" s="1"/>
  <c r="V267" i="27"/>
  <c r="I91" i="24"/>
  <c r="L91" i="24" s="1"/>
  <c r="I73" i="24"/>
  <c r="L73" i="24" s="1"/>
  <c r="I107" i="25"/>
  <c r="L107" i="25" s="1"/>
  <c r="V246" i="27"/>
  <c r="V380" i="27"/>
  <c r="V331" i="27"/>
  <c r="V312" i="27"/>
  <c r="V32" i="27"/>
  <c r="V42" i="27"/>
  <c r="V347" i="27"/>
  <c r="V215" i="27"/>
  <c r="T150" i="27"/>
  <c r="V58" i="27"/>
  <c r="I103" i="21"/>
  <c r="L103" i="21" s="1"/>
  <c r="V374" i="27"/>
  <c r="V17" i="27"/>
  <c r="I67" i="18"/>
  <c r="L67" i="18" s="1"/>
  <c r="I84" i="11"/>
  <c r="L84" i="11" s="1"/>
  <c r="V18" i="27"/>
  <c r="I99" i="26"/>
  <c r="L99" i="26" s="1"/>
  <c r="V73" i="27"/>
  <c r="V61" i="27"/>
  <c r="I67" i="24"/>
  <c r="L67" i="24" s="1"/>
  <c r="I102" i="26"/>
  <c r="L102" i="26" s="1"/>
  <c r="I86" i="23"/>
  <c r="L86" i="23" s="1"/>
  <c r="T50" i="27"/>
  <c r="I69" i="23"/>
  <c r="L69" i="23" s="1"/>
  <c r="V38" i="27"/>
  <c r="V205" i="27"/>
  <c r="I72" i="11"/>
  <c r="L72" i="11" s="1"/>
  <c r="V226" i="27"/>
  <c r="V388" i="27"/>
  <c r="T300" i="27"/>
  <c r="I103" i="17"/>
  <c r="L103" i="17" s="1"/>
  <c r="V260" i="27"/>
  <c r="V293" i="27"/>
  <c r="V273" i="3"/>
  <c r="I92" i="18"/>
  <c r="L92" i="18" s="1"/>
  <c r="V236" i="27"/>
  <c r="I89" i="17"/>
  <c r="L89" i="17" s="1"/>
  <c r="I84" i="17"/>
  <c r="L84" i="17" s="1"/>
  <c r="I86" i="17"/>
  <c r="L86" i="17" s="1"/>
  <c r="I97" i="24"/>
  <c r="L97" i="24" s="1"/>
  <c r="I93" i="23"/>
  <c r="L93" i="23" s="1"/>
  <c r="V33" i="27"/>
  <c r="V105" i="27"/>
  <c r="V327" i="27"/>
  <c r="T400" i="27"/>
  <c r="V220" i="27"/>
  <c r="I67" i="26"/>
  <c r="L67" i="26" s="1"/>
  <c r="I108" i="21"/>
  <c r="L108" i="21" s="1"/>
  <c r="I109" i="18"/>
  <c r="L109" i="18" s="1"/>
  <c r="I93" i="21"/>
  <c r="L93" i="21" s="1"/>
  <c r="I75" i="25"/>
  <c r="L75" i="25" s="1"/>
  <c r="I76" i="11"/>
  <c r="L76" i="11" s="1"/>
  <c r="I85" i="18"/>
  <c r="L85" i="18" s="1"/>
  <c r="I69" i="21"/>
  <c r="L69" i="21" s="1"/>
  <c r="I110" i="24"/>
  <c r="L110" i="24" s="1"/>
  <c r="I99" i="11"/>
  <c r="L99" i="11" s="1"/>
  <c r="I71" i="26"/>
  <c r="L71" i="26" s="1"/>
  <c r="I99" i="18"/>
  <c r="L99" i="18" s="1"/>
  <c r="V214" i="27"/>
  <c r="V4" i="27"/>
  <c r="V54" i="27"/>
  <c r="V325" i="27"/>
  <c r="I83" i="24"/>
  <c r="L83" i="24" s="1"/>
  <c r="V348" i="27"/>
  <c r="V294" i="27"/>
  <c r="K31" i="20"/>
  <c r="M31" i="20" s="1"/>
  <c r="M36" i="20" s="1"/>
  <c r="I82" i="26"/>
  <c r="L82" i="26" s="1"/>
  <c r="I103" i="24"/>
  <c r="L103" i="24" s="1"/>
  <c r="I86" i="25"/>
  <c r="L86" i="25" s="1"/>
  <c r="I83" i="23"/>
  <c r="L83" i="23" s="1"/>
  <c r="V116" i="27"/>
  <c r="I101" i="17"/>
  <c r="L101" i="17" s="1"/>
  <c r="V288" i="27"/>
  <c r="V272" i="27"/>
  <c r="I81" i="18"/>
  <c r="L81" i="18" s="1"/>
  <c r="V292" i="27"/>
  <c r="I72" i="26"/>
  <c r="L72" i="26" s="1"/>
  <c r="I77" i="17"/>
  <c r="L77" i="17" s="1"/>
  <c r="I73" i="25"/>
  <c r="L73" i="25" s="1"/>
  <c r="V382" i="27"/>
  <c r="V243" i="27"/>
  <c r="V131" i="27"/>
  <c r="V198" i="27"/>
  <c r="V217" i="27"/>
  <c r="I82" i="21"/>
  <c r="L82" i="21" s="1"/>
  <c r="V329" i="27"/>
  <c r="I89" i="24"/>
  <c r="L89" i="24" s="1"/>
  <c r="I103" i="18"/>
  <c r="L103" i="18" s="1"/>
  <c r="V192" i="27"/>
  <c r="V397" i="27"/>
  <c r="V56" i="27"/>
  <c r="V155" i="27"/>
  <c r="I81" i="24"/>
  <c r="L81" i="24" s="1"/>
  <c r="I75" i="21"/>
  <c r="L75" i="21" s="1"/>
  <c r="I77" i="26"/>
  <c r="L77" i="26" s="1"/>
  <c r="V75" i="27"/>
  <c r="I90" i="18"/>
  <c r="L90" i="18" s="1"/>
  <c r="I80" i="17"/>
  <c r="L80" i="17" s="1"/>
  <c r="T100" i="27"/>
  <c r="I97" i="17"/>
  <c r="L97" i="17" s="1"/>
  <c r="V235" i="27"/>
  <c r="I103" i="25"/>
  <c r="L103" i="25" s="1"/>
  <c r="I73" i="26"/>
  <c r="L73" i="26" s="1"/>
  <c r="I102" i="18"/>
  <c r="L102" i="18" s="1"/>
  <c r="I83" i="11"/>
  <c r="L83" i="11" s="1"/>
  <c r="I100" i="17"/>
  <c r="L100" i="17" s="1"/>
  <c r="V241" i="27"/>
  <c r="V356" i="27"/>
  <c r="I78" i="11"/>
  <c r="L78" i="11" s="1"/>
  <c r="I73" i="21"/>
  <c r="L73" i="21" s="1"/>
  <c r="I70" i="26"/>
  <c r="L70" i="26" s="1"/>
  <c r="I91" i="23"/>
  <c r="L91" i="23" s="1"/>
  <c r="I68" i="24"/>
  <c r="L68" i="24" s="1"/>
  <c r="V320" i="27"/>
  <c r="V179" i="27"/>
  <c r="I89" i="23"/>
  <c r="L89" i="23" s="1"/>
  <c r="V343" i="27"/>
  <c r="I80" i="25"/>
  <c r="L80" i="25" s="1"/>
  <c r="I82" i="11"/>
  <c r="L82" i="11" s="1"/>
  <c r="V86" i="27"/>
  <c r="I86" i="24"/>
  <c r="L86" i="24" s="1"/>
  <c r="V108" i="27"/>
  <c r="T250" i="27"/>
  <c r="V254" i="27"/>
  <c r="T350" i="27"/>
  <c r="I79" i="21"/>
  <c r="L79" i="21" s="1"/>
  <c r="V26" i="27"/>
  <c r="V216" i="27"/>
  <c r="V174" i="27"/>
  <c r="I69" i="25"/>
  <c r="L69" i="25" s="1"/>
  <c r="I97" i="18"/>
  <c r="L97" i="18" s="1"/>
  <c r="V19" i="27"/>
  <c r="V138" i="27"/>
  <c r="I88" i="21"/>
  <c r="L88" i="21" s="1"/>
  <c r="I66" i="26"/>
  <c r="L66" i="26" s="1"/>
  <c r="I80" i="23"/>
  <c r="L80" i="23" s="1"/>
  <c r="I80" i="18"/>
  <c r="L80" i="18" s="1"/>
  <c r="V376" i="27"/>
  <c r="V36" i="27"/>
  <c r="I103" i="26"/>
  <c r="L103" i="26" s="1"/>
  <c r="V290" i="27"/>
  <c r="V282" i="27"/>
  <c r="I98" i="25"/>
  <c r="L98" i="25" s="1"/>
  <c r="V168" i="27"/>
  <c r="V177" i="27"/>
  <c r="I66" i="24"/>
  <c r="L66" i="24" s="1"/>
  <c r="I90" i="21"/>
  <c r="L90" i="21" s="1"/>
  <c r="I74" i="26"/>
  <c r="L74" i="26" s="1"/>
  <c r="I96" i="21"/>
  <c r="L96" i="21" s="1"/>
  <c r="I85" i="21"/>
  <c r="L85" i="21" s="1"/>
  <c r="I107" i="23"/>
  <c r="L107" i="23" s="1"/>
  <c r="I110" i="26"/>
  <c r="L110" i="26" s="1"/>
  <c r="V83" i="27"/>
  <c r="I74" i="24"/>
  <c r="L74" i="24" s="1"/>
  <c r="I95" i="21"/>
  <c r="L95" i="21" s="1"/>
  <c r="I95" i="24"/>
  <c r="L95" i="24" s="1"/>
  <c r="I70" i="11"/>
  <c r="L70" i="11" s="1"/>
  <c r="L66" i="17"/>
  <c r="L66" i="11"/>
  <c r="I66" i="21"/>
  <c r="V154" i="27"/>
  <c r="T200" i="27"/>
  <c r="H165" i="2" l="1"/>
  <c r="A82" i="3" s="1"/>
  <c r="E82" i="3" s="1"/>
  <c r="F103" i="16" s="1"/>
  <c r="L103" i="16" s="1"/>
  <c r="L87" i="16"/>
  <c r="G165" i="2"/>
  <c r="A81" i="3" s="1"/>
  <c r="E81" i="3" s="1"/>
  <c r="F101" i="16" s="1"/>
  <c r="L101" i="16" s="1"/>
  <c r="L85" i="16"/>
  <c r="E165" i="2"/>
  <c r="A79" i="3" s="1"/>
  <c r="E79" i="3" s="1"/>
  <c r="F97" i="16" s="1"/>
  <c r="L97" i="16" s="1"/>
  <c r="F165" i="2"/>
  <c r="A80" i="3" s="1"/>
  <c r="E80" i="3" s="1"/>
  <c r="F99" i="16" s="1"/>
  <c r="L99" i="16" s="1"/>
  <c r="L83" i="16"/>
  <c r="C57" i="3"/>
  <c r="V300" i="27"/>
  <c r="K36" i="20"/>
  <c r="T279" i="3"/>
  <c r="L51" i="16" s="1"/>
  <c r="C58" i="3" s="1"/>
  <c r="V400" i="27"/>
  <c r="V100" i="27"/>
  <c r="V250" i="27"/>
  <c r="V150" i="27"/>
  <c r="V50" i="27"/>
  <c r="I111" i="23"/>
  <c r="V350" i="27"/>
  <c r="I111" i="17"/>
  <c r="I111" i="24"/>
  <c r="L111" i="23"/>
  <c r="I111" i="11"/>
  <c r="L111" i="26"/>
  <c r="I111" i="25"/>
  <c r="L111" i="24"/>
  <c r="I111" i="18"/>
  <c r="I111" i="26"/>
  <c r="L111" i="25"/>
  <c r="L111" i="18"/>
  <c r="U50" i="27"/>
  <c r="L111" i="11"/>
  <c r="V200" i="27"/>
  <c r="L111" i="17"/>
  <c r="L66" i="21"/>
  <c r="L111" i="21" s="1"/>
  <c r="I111" i="21"/>
  <c r="C59" i="3" l="1"/>
  <c r="C60" i="3" s="1"/>
  <c r="L48" i="16" s="1"/>
  <c r="V279" i="3"/>
  <c r="L79" i="16" s="1"/>
  <c r="L53" i="16" s="1"/>
  <c r="A208" i="3" s="1"/>
  <c r="B157" i="2" s="1"/>
  <c r="L64" i="16" l="1"/>
  <c r="B66" i="3" s="1"/>
  <c r="B67" i="3"/>
  <c r="D165" i="2" s="1"/>
  <c r="L61" i="16"/>
  <c r="E68" i="3" s="1"/>
  <c r="L107" i="16" l="1"/>
  <c r="B69" i="3" s="1"/>
  <c r="A78" i="3"/>
  <c r="E78" i="3" s="1"/>
  <c r="J165" i="2"/>
  <c r="A214" i="3"/>
  <c r="B162" i="2" s="1"/>
  <c r="C68" i="3"/>
  <c r="F71" i="3"/>
  <c r="A212" i="3"/>
  <c r="B160" i="2" s="1"/>
  <c r="E69" i="3"/>
  <c r="A210" i="3" s="1"/>
  <c r="B158" i="2" s="1"/>
  <c r="B30" i="3"/>
  <c r="I169" i="2"/>
  <c r="F72" i="3"/>
  <c r="H166" i="2" l="1"/>
  <c r="E166" i="2"/>
  <c r="F166" i="2"/>
  <c r="G166" i="2"/>
  <c r="B168" i="2"/>
  <c r="F95" i="16"/>
  <c r="L95" i="16" s="1"/>
  <c r="L105" i="16" s="1"/>
  <c r="L109" i="16" s="1"/>
  <c r="E83" i="3"/>
  <c r="G180" i="2" s="1"/>
  <c r="F73" i="3"/>
  <c r="C74" i="3" s="1"/>
  <c r="E66" i="3" s="1"/>
  <c r="A216" i="3" s="1"/>
  <c r="B161" i="2"/>
  <c r="C161" i="2"/>
  <c r="D166" i="2" l="1"/>
  <c r="J166" i="2" s="1"/>
  <c r="I171" i="2"/>
  <c r="B173" i="2" s="1"/>
  <c r="L111" i="16"/>
  <c r="L113" i="16" s="1"/>
  <c r="I180" i="2"/>
</calcChain>
</file>

<file path=xl/sharedStrings.xml><?xml version="1.0" encoding="utf-8"?>
<sst xmlns="http://schemas.openxmlformats.org/spreadsheetml/2006/main" count="7730" uniqueCount="1803">
  <si>
    <t>Municipal Carryover Information from Your Records</t>
  </si>
  <si>
    <t>Available</t>
  </si>
  <si>
    <t>Year Unused NOL Generated</t>
  </si>
  <si>
    <t>Net Operating Loss Carryovers</t>
  </si>
  <si>
    <t>Year Unused Contributions Generated</t>
  </si>
  <si>
    <t>Charitable Contributions Carryovers</t>
  </si>
  <si>
    <t>Capital Loss Carryovers</t>
  </si>
  <si>
    <t>Municipal Income Tax Computation Worksheet</t>
  </si>
  <si>
    <t>Sched K, Ln 4</t>
  </si>
  <si>
    <t>Interest Income</t>
  </si>
  <si>
    <t>Dividends</t>
  </si>
  <si>
    <t>Royalties</t>
  </si>
  <si>
    <t>4797, Part III, Ln 22</t>
  </si>
  <si>
    <t>4797, Part III, Ln 24</t>
  </si>
  <si>
    <t>Part I</t>
  </si>
  <si>
    <t>Worksheet References 1041</t>
  </si>
  <si>
    <t>No loss offset, no losses in Sched Y</t>
  </si>
  <si>
    <t>RITA</t>
  </si>
  <si>
    <t>Nexus Only</t>
  </si>
  <si>
    <t>Post Y Condolidation</t>
  </si>
  <si>
    <t>Worksheet References 1065</t>
  </si>
  <si>
    <t>Form 1065, Pg 4, Analysis of Net Income, Ln 1</t>
  </si>
  <si>
    <t>Federal Income</t>
  </si>
  <si>
    <t>ST capital gain</t>
  </si>
  <si>
    <t>LT capital gain</t>
  </si>
  <si>
    <t>§1231 gain (loss)</t>
  </si>
  <si>
    <t>§179 Deduction</t>
  </si>
  <si>
    <t>Owner's Health Ins</t>
  </si>
  <si>
    <t>Owner's Retirement</t>
  </si>
  <si>
    <t>Corrected multiple cities on Tax Rates tab: first rate column must be as of 01/01/2004 or we risk "VALUE" errors if the taxpayer tries to file for a year later than 2003 but earlier that first rate date.</t>
  </si>
  <si>
    <t>Corrected Baltimore, Lakemore, McClure, and Vermilion on Tax Rates tab… changes to the credit have no affect on net profit returns</t>
  </si>
  <si>
    <t>Sched D, Part II, Lns 6a - 8</t>
  </si>
  <si>
    <t>8903, Ln 25</t>
  </si>
  <si>
    <t>Added a zero to Schedule X, Line F for looks</t>
  </si>
  <si>
    <t>Short Error Msg</t>
  </si>
  <si>
    <t>Changed Blended rates in tax table to new rates so the correct rate pulls on fiscal years that are not blocked because of rate changes in the taxpayer's fiscal year, but the rate changed happened in the calendar year.</t>
  </si>
  <si>
    <t>Added "Tax Rate Change Warning Msg" check to Data tab so disabling macros won't allow a blended rate (tax rate is set to "n/a")</t>
  </si>
  <si>
    <t>Added short "Cannot Use AutoCalc" message when tax rate change in fiscal year.  Warning appears in warning box on "Complete This Page".</t>
  </si>
  <si>
    <t>Short Error Msg to Display</t>
  </si>
  <si>
    <t>Added Zip-Code format to address field on "Complete This Page" for zip's beginning with "0"</t>
  </si>
  <si>
    <t>Removed formula that cause part of preparer address to appear twice. Cell J115.</t>
  </si>
  <si>
    <t>Fixed NOL for Oberlin (actually 3yrs not 0yrs)</t>
  </si>
  <si>
    <t>Locked all pages with password and gave approval to post on webstie</t>
  </si>
  <si>
    <t>Corrected NOL to 5yrs for Mentor per 6/01/12 email from Alicia Kline</t>
  </si>
  <si>
    <t>Correct spelling error on Form 27, Page 1, Line 3A ("o" needs to be "or"</t>
  </si>
  <si>
    <t>Capital losses in excess of capital gains not eliminated in Schedule X above</t>
  </si>
  <si>
    <t>d)</t>
  </si>
  <si>
    <t>e)</t>
  </si>
  <si>
    <t>FEDERAL TAXABLE INCOME computed as if a C Corporation</t>
  </si>
  <si>
    <t>Tremont City</t>
  </si>
  <si>
    <t>Swanton</t>
  </si>
  <si>
    <t>(except for capital loss limitations since Schedule X, Line A eliminates the need to make such an adjustment)  Enter here on on Form 27, Page 1, Line 1</t>
  </si>
  <si>
    <t>Compensation in excess of $1 million to a "covered employee"</t>
  </si>
  <si>
    <t>Other:</t>
  </si>
  <si>
    <t>Section 179 deductions in excess of C Corporation limits or (carryovers used)</t>
  </si>
  <si>
    <t>Charitable contributions in excess of C Corporation limits or (carryovers used)</t>
  </si>
  <si>
    <t>Federal Income for Limitations (Contributions, 179)</t>
  </si>
  <si>
    <t xml:space="preserve">Social Security </t>
  </si>
  <si>
    <t>Other Payments</t>
  </si>
  <si>
    <t>Number</t>
  </si>
  <si>
    <t>Sched K-1, Ln L</t>
  </si>
  <si>
    <t>Sched K-1, Ln 4</t>
  </si>
  <si>
    <t>Ownership %</t>
  </si>
  <si>
    <t>Increase (decrease)</t>
  </si>
  <si>
    <t>Sched K-1, Ln N</t>
  </si>
  <si>
    <r>
      <t xml:space="preserve">The business is a non-C corporation that could claim a deduction for charitable contributions </t>
    </r>
    <r>
      <rPr>
        <b/>
        <sz val="8"/>
        <rFont val="Arial"/>
        <family val="2"/>
      </rPr>
      <t>and</t>
    </r>
    <r>
      <rPr>
        <sz val="8"/>
        <rFont val="Arial"/>
        <family val="2"/>
      </rPr>
      <t xml:space="preserve"> one or more of the following apply:</t>
    </r>
  </si>
  <si>
    <t>Form 1120-A, Page 1, Ln 5</t>
  </si>
  <si>
    <t>Form 1120-A, Page 1, Ln 4</t>
  </si>
  <si>
    <t>Hilliard</t>
  </si>
  <si>
    <t>Bettsville</t>
  </si>
  <si>
    <t>Willshire</t>
  </si>
  <si>
    <t>Oxford</t>
  </si>
  <si>
    <t>Addyston</t>
  </si>
  <si>
    <t>Fairborn</t>
  </si>
  <si>
    <t>Form 1120-A, Page 1, Ln 7</t>
  </si>
  <si>
    <t>Form 1120-A, Pg 1, Ln 19</t>
  </si>
  <si>
    <t>Worksheet References 1120S</t>
  </si>
  <si>
    <t>Sched K, Ln 17e</t>
  </si>
  <si>
    <t>Sched K, Ln 5a</t>
  </si>
  <si>
    <t>Sched K, Ln 6</t>
  </si>
  <si>
    <t>Form</t>
  </si>
  <si>
    <t>Domestic Production Activities Deduction</t>
  </si>
  <si>
    <t>Name(s) as shown on return</t>
  </si>
  <si>
    <t>Identifying number</t>
  </si>
  <si>
    <t>Domestic production gross receipts (DPGR)</t>
  </si>
  <si>
    <t>Allocable cost of good sold (skip lines 2 &amp; 3 if using small business method).</t>
  </si>
  <si>
    <t>Deductions and losses allocable to DPGR</t>
  </si>
  <si>
    <t>Small business method cost of goods sold &amp; deductions</t>
  </si>
  <si>
    <t>Add lines 2 through 4</t>
  </si>
  <si>
    <t>Subtract Line 5 from line 1</t>
  </si>
  <si>
    <t>Qualified production activities from estates, trusts, and certain partnerships &amp; s-corps</t>
  </si>
  <si>
    <t>Add lines 6 and 7. Estates &amp; trusts go to line 9, all others skip line 9 &amp; go to line 10</t>
  </si>
  <si>
    <t>Amount allocated to beneficiaries of the estate or trust</t>
  </si>
  <si>
    <r>
      <t>Qualified production activities income.</t>
    </r>
    <r>
      <rPr>
        <sz val="10"/>
        <rFont val="Arial"/>
        <family val="2"/>
      </rPr>
      <t xml:space="preserve"> Estates &amp; trusts subtract line 9 from line 8, all other enter the amount from line 8.  If zero or less, enter -0- here and on line 20</t>
    </r>
  </si>
  <si>
    <t>Enter the smaller of line 10 or 11.  If zero or less, enter -0- here and on line 20</t>
  </si>
  <si>
    <t>Form W-2 wages allocable to DPGR</t>
  </si>
  <si>
    <t>Form W-2 wages from estates, trusts, and certain partnerships &amp; s-corps</t>
  </si>
  <si>
    <t>Estates &amp; trusts, subtract line 17 from line 16, all other enter the amount from line 16</t>
  </si>
  <si>
    <t>179 Carryover 5th Prior</t>
  </si>
  <si>
    <t>actual 1250 Gains</t>
  </si>
  <si>
    <t>Virtual 1245 gains on 1250 prop &gt; the actual 1250 gains</t>
  </si>
  <si>
    <t>Depreciation allowed or allowable on §1250 property</t>
  </si>
  <si>
    <t>Total gain on §1250 property</t>
  </si>
  <si>
    <t>Gain on §1250 property treated as ordinary income</t>
  </si>
  <si>
    <t>virtual 1245 Gain on 1250 property</t>
  </si>
  <si>
    <t>Ordinary Inc on §1250</t>
  </si>
  <si>
    <t>4797, Part III, Ln 26g</t>
  </si>
  <si>
    <t>If greater than 3, sound alarm!!!</t>
  </si>
  <si>
    <t>No federal filing Business Type selected.</t>
  </si>
  <si>
    <t>Too many federal filing Business types selected.</t>
  </si>
  <si>
    <t>Inventories (B)</t>
  </si>
  <si>
    <t>Inventories (E)</t>
  </si>
  <si>
    <t>Pass-Thru Income</t>
  </si>
  <si>
    <t>Part of 1065, Pg 1, Ln 4</t>
  </si>
  <si>
    <t>Part of 1120, Pg 1, Ln 10</t>
  </si>
  <si>
    <t>Part of 1120-A, Page 1, Ln 10</t>
  </si>
  <si>
    <t>Part of 1120S, Pg 1, Ln 5</t>
  </si>
  <si>
    <t>Part of 1120-REIT, Pg 1, Ln 7</t>
  </si>
  <si>
    <t>Charitable Contributions</t>
  </si>
  <si>
    <t>For use by taxpayers that are not C corporations.  C corporations should attach copies of their federal schedules for charitable contribution carryovers, captial loss carryovers, and unrecovered 1231 loss carryovers to their RITA returns.</t>
  </si>
  <si>
    <r>
      <t>Schedule Y:</t>
    </r>
    <r>
      <rPr>
        <sz val="12"/>
        <rFont val="Arial"/>
        <family val="2"/>
      </rPr>
      <t xml:space="preserve"> Business Apportionment Formula</t>
    </r>
    <r>
      <rPr>
        <sz val="8"/>
        <rFont val="Arial"/>
        <family val="2"/>
      </rPr>
      <t xml:space="preserve"> (See Instructions)</t>
    </r>
  </si>
  <si>
    <t>Partner's Ownership %</t>
  </si>
  <si>
    <t>Partner's Increase/Decrease</t>
  </si>
  <si>
    <t>Partner's Other Payments</t>
  </si>
  <si>
    <t>Sched D, Part I, Ln 6</t>
  </si>
  <si>
    <t>Sched D, Part II, Ln 13</t>
  </si>
  <si>
    <t>Sched K-1, Ln J</t>
  </si>
  <si>
    <t>Pass-Through Distributive Shares of Net Income</t>
  </si>
  <si>
    <t>(From federal Schedule K for federal Form 1065 or 1120S.  Attach additional schedules if more space is needed.)</t>
  </si>
  <si>
    <t>Partner/Shareholder</t>
  </si>
  <si>
    <t>SSN/EIN</t>
  </si>
  <si>
    <t>Updated Tax Rates tab - added information for 2012 TY using information from RITAX database
Added cities:
Baltic, Belle Center, Bloomdale, Buckland, Catawba, Gratis, Hopedale, Jeromesville, McDonald
Morral, Mount Healthy, Mount Victory, New Riegel, North Robinson, Owensville, Pleasantville
Rio Grande, Sycamore, Tiro
Removed cities:
Kettlersville
Changed rates/credit:
Kent, Macedonia, Macedonia NCT JEDD, Minerva Park, Mingo Junction, Perry
RIchmond Heights, Riverside, Twinsburg, Vermilion
Added Camden
Review Completed</t>
  </si>
  <si>
    <t>Expensed pymts to partners not treated as guaranteed pymts</t>
  </si>
  <si>
    <r>
      <t xml:space="preserve">Added line to capture expensed payments to partners not treated as guaranteed pymts as these payments consitute "guaranteed pymts </t>
    </r>
    <r>
      <rPr>
        <b/>
        <sz val="10"/>
        <rFont val="Arial"/>
        <family val="2"/>
      </rPr>
      <t>and other similar amounts</t>
    </r>
    <r>
      <rPr>
        <sz val="10"/>
        <rFont val="Arial"/>
        <family val="2"/>
      </rPr>
      <t>" under ORC 718.01(A)(1)(g)</t>
    </r>
  </si>
  <si>
    <t>REMITTANCE PAYABLE TO RITA MUST ACCOMPANY THIS FORM</t>
  </si>
  <si>
    <t>Federal Idenification Number</t>
  </si>
  <si>
    <t>CHECK #: ___________________</t>
  </si>
  <si>
    <t>Credit……………</t>
  </si>
  <si>
    <t>Refund………….</t>
  </si>
  <si>
    <t>(Per attached Federal Form 1120 (Page 1, Line 28))</t>
  </si>
  <si>
    <t>(Per attached Federal Form 1120S (Schedule K, Line 18))</t>
  </si>
  <si>
    <t>(Per attached Federal Form 1065 (Analysis of Net Income (Loss), line 1))</t>
  </si>
  <si>
    <t>ENTER EXCESS OF LINE 2A or 2B</t>
  </si>
  <si>
    <t>Deduct 2B</t>
  </si>
  <si>
    <t>2C</t>
  </si>
  <si>
    <t>ADJUSTED FEDERAL TAXABLE INCOME</t>
  </si>
  <si>
    <t>3A</t>
  </si>
  <si>
    <t>3C</t>
  </si>
  <si>
    <t>AMOUNT SUBJECT TO MUNICIPAL INCOME TAX</t>
  </si>
  <si>
    <t>AMOUNT OF PREVIOUS YEAR CREDITS</t>
  </si>
  <si>
    <t>6B</t>
  </si>
  <si>
    <t>6C</t>
  </si>
  <si>
    <t>OVERPAYMENT CLAIMED</t>
  </si>
  <si>
    <t>(If Line 6C exceeds Line 5 enter the diffeence here and check the desired box)</t>
  </si>
  <si>
    <t>Credit</t>
  </si>
  <si>
    <t>7A</t>
  </si>
  <si>
    <t>7B</t>
  </si>
  <si>
    <t>(Overpayments cannot be split between refund and credit)</t>
  </si>
  <si>
    <t>Page</t>
  </si>
  <si>
    <t>Regional Income Tax Agency</t>
  </si>
  <si>
    <t>Net Profits</t>
  </si>
  <si>
    <t>Auto-Calculating Form 27</t>
  </si>
  <si>
    <t>Disclaimer</t>
  </si>
  <si>
    <t>Who May Use This Form</t>
  </si>
  <si>
    <t>Index</t>
  </si>
  <si>
    <t>City Code</t>
  </si>
  <si>
    <t>City Name</t>
  </si>
  <si>
    <t>NOL Years</t>
  </si>
  <si>
    <t>NOL Type</t>
  </si>
  <si>
    <t>1120, Sched L, Ln 3(d)</t>
  </si>
  <si>
    <t>Part of 1120-A, Pg 2, Ln 2</t>
  </si>
  <si>
    <t>Part of 1120-A, Pg 1, Ln 17</t>
  </si>
  <si>
    <t>1120-A, Pg 2, Part III, Ln 3(a)</t>
  </si>
  <si>
    <t>1120-A, Pg 2, Part III, Ln 3(b)</t>
  </si>
  <si>
    <t>Part of 1120S, Sched A, Ln 5</t>
  </si>
  <si>
    <t>1120-REIT, Sched L, Ln 9a(a)</t>
  </si>
  <si>
    <t>1120-REIT, Sched L, Ln 9a(c)</t>
  </si>
  <si>
    <t>1120-REIT, Sched L, Ln 10(b)</t>
  </si>
  <si>
    <t>1120-REIT, Sched L, Ln 10(d)</t>
  </si>
  <si>
    <t>1120-REIT, Pg 1, Lns 3 &amp; 4</t>
  </si>
  <si>
    <t>Part of 1120-A, Part III, Ln 9a(a)</t>
  </si>
  <si>
    <t>Part of 1120-A, Part III, Ln 9a(b)</t>
  </si>
  <si>
    <t>Tax Year Selected:</t>
  </si>
  <si>
    <t>Tax Year Used for References:</t>
  </si>
  <si>
    <t>Indx</t>
  </si>
  <si>
    <t>Form Selected:</t>
  </si>
  <si>
    <t>1120S, Sched L, Ln 3(b)</t>
  </si>
  <si>
    <t>1120S, Sched L, Ln 3(d)</t>
  </si>
  <si>
    <t>1120S, Sched L, Ln 10a(a)</t>
  </si>
  <si>
    <t>Restrictions</t>
  </si>
  <si>
    <t>The business is a disregarded entity filing for federal purposes on Schedule C or E (Form 1040).</t>
  </si>
  <si>
    <t>The business is a regulated investment company.</t>
  </si>
  <si>
    <t>The business needs to allocate income to more than five RITA municipalities.</t>
  </si>
  <si>
    <t>The federal return reports income or loss from a like-kind exchange.</t>
  </si>
  <si>
    <t>The federal return reports income or loss from an installment sale.</t>
  </si>
  <si>
    <t>Moreland Hills</t>
  </si>
  <si>
    <t>Mount Sterling</t>
  </si>
  <si>
    <t>New Albany</t>
  </si>
  <si>
    <t>New Bloomington</t>
  </si>
  <si>
    <t>New Waterford</t>
  </si>
  <si>
    <t>Newburgh Heights</t>
  </si>
  <si>
    <t>Newtown</t>
  </si>
  <si>
    <t>Part of: 1041, Pg 1, Ln 11 &amp; Sched E, Part 1, Ln 16</t>
  </si>
  <si>
    <t>Version 0.9 Starts Here</t>
  </si>
  <si>
    <t>North Lewisburg</t>
  </si>
  <si>
    <t>North Olmsted</t>
  </si>
  <si>
    <t>North Royalton</t>
  </si>
  <si>
    <t>Oberlin</t>
  </si>
  <si>
    <t>Olmsted Falls</t>
  </si>
  <si>
    <t>Orange Village</t>
  </si>
  <si>
    <t>Orange - Chag. - High. JEDD</t>
  </si>
  <si>
    <t>Ottawa</t>
  </si>
  <si>
    <t>Pepper Pike</t>
  </si>
  <si>
    <t>Piketon</t>
  </si>
  <si>
    <t>Plain City</t>
  </si>
  <si>
    <t>Powell</t>
  </si>
  <si>
    <t>Powhatan Point</t>
  </si>
  <si>
    <t>Reminderville</t>
  </si>
  <si>
    <t>Reynoldsburg</t>
  </si>
  <si>
    <t>Richmond Heights</t>
  </si>
  <si>
    <t>Richwood</t>
  </si>
  <si>
    <t>Ridgeway</t>
  </si>
  <si>
    <t>Riverside</t>
  </si>
  <si>
    <t xml:space="preserve">Sabina </t>
  </si>
  <si>
    <t>Saint Paris</t>
  </si>
  <si>
    <t>Salineville</t>
  </si>
  <si>
    <t>Sandusky</t>
  </si>
  <si>
    <t>Seven Hills</t>
  </si>
  <si>
    <t>Shaker Heights</t>
  </si>
  <si>
    <t>Shawnee Hills</t>
  </si>
  <si>
    <t>Sheffield Lake</t>
  </si>
  <si>
    <t>Sheffield Village</t>
  </si>
  <si>
    <t>Sherwood</t>
  </si>
  <si>
    <t>Silver Lake</t>
  </si>
  <si>
    <t>South Euclid</t>
  </si>
  <si>
    <t>South Solon</t>
  </si>
  <si>
    <t>Steubenville</t>
  </si>
  <si>
    <t>Streetsboro</t>
  </si>
  <si>
    <t>Strongsville</t>
  </si>
  <si>
    <t>Sunbury</t>
  </si>
  <si>
    <t>Tontogony</t>
  </si>
  <si>
    <t>Toronto</t>
  </si>
  <si>
    <t>Twinsburg</t>
  </si>
  <si>
    <t>Uhrichsville</t>
  </si>
  <si>
    <t>University Heights</t>
  </si>
  <si>
    <t>Urbancrest</t>
  </si>
  <si>
    <t>Vermilion</t>
  </si>
  <si>
    <t>Wakeman</t>
  </si>
  <si>
    <t>Wellston</t>
  </si>
  <si>
    <t>Credit 7</t>
  </si>
  <si>
    <t>Credit 8</t>
  </si>
  <si>
    <t>Credit 9</t>
  </si>
  <si>
    <t>Credit 10</t>
  </si>
  <si>
    <t>Start Dates for Tax Rates</t>
  </si>
  <si>
    <t>Tax Rates</t>
  </si>
  <si>
    <t>Credits</t>
  </si>
  <si>
    <t>Credit Limits</t>
  </si>
  <si>
    <t>Mn Index #</t>
  </si>
  <si>
    <r>
      <t>Ø</t>
    </r>
    <r>
      <rPr>
        <sz val="8"/>
        <rFont val="Arial"/>
        <family val="2"/>
      </rPr>
      <t xml:space="preserve"> If the business was a C corporation, it would have claimed a domestic production activities deduction.</t>
    </r>
  </si>
  <si>
    <r>
      <t>Ø</t>
    </r>
    <r>
      <rPr>
        <sz val="8"/>
        <rFont val="Arial"/>
        <family val="2"/>
      </rPr>
      <t xml:space="preserve"> The business claimed a IRC 249 deduction related to the cost of borrowing to repurchase bonds it issued.</t>
    </r>
  </si>
  <si>
    <r>
      <t>Do not use</t>
    </r>
    <r>
      <rPr>
        <sz val="8"/>
        <rFont val="Arial"/>
        <family val="2"/>
      </rPr>
      <t xml:space="preserve"> this worksheet if any of the following apply </t>
    </r>
    <r>
      <rPr>
        <b/>
        <sz val="8"/>
        <rFont val="Arial"/>
        <family val="2"/>
      </rPr>
      <t>as the auto-calc will produce incorrect results.</t>
    </r>
  </si>
  <si>
    <r>
      <t>Do not use</t>
    </r>
    <r>
      <rPr>
        <sz val="8"/>
        <rFont val="Arial"/>
        <family val="2"/>
      </rPr>
      <t xml:space="preserve"> this worksheet if any of the following apply </t>
    </r>
    <r>
      <rPr>
        <b/>
        <sz val="8"/>
        <rFont val="Arial"/>
        <family val="2"/>
      </rPr>
      <t>as the auto-calc may produce incorrect results.</t>
    </r>
  </si>
  <si>
    <t>The business is filing a consolidated return.  This worksheet was not designed to support consolidated returns.</t>
  </si>
  <si>
    <t>The business is filing a return for a tax year beginning prior to January 1, 2004.</t>
  </si>
  <si>
    <t>The business is filing a short-year return.</t>
  </si>
  <si>
    <t>The business is a partnership that has made a section 754 election.</t>
  </si>
  <si>
    <t>Form 1120, Pg 1, Ln 1c</t>
  </si>
  <si>
    <t>1125-A, Pg 1, Ln 3</t>
  </si>
  <si>
    <t>1065 Pg 1, Ln 1c &amp; 8825 Ln 2</t>
  </si>
  <si>
    <t>Part of Form 1125-A, Ln 5</t>
  </si>
  <si>
    <t>Form 1065, Sched K, Ln 8</t>
  </si>
  <si>
    <t>Form 1065, Sched K, Ln 9a</t>
  </si>
  <si>
    <t>1120S Pg 1, Ln 1c &amp; 8825 Ln 2</t>
  </si>
  <si>
    <t>1120S, Sched K, Ln 7</t>
  </si>
  <si>
    <t>1120S, Sched K, Ln 8a</t>
  </si>
  <si>
    <t>1120S, Sched K, Ln 9</t>
  </si>
  <si>
    <t>Update References tab for 2011 where necessary to match 2011 IRS Forms</t>
  </si>
  <si>
    <t>Note: Error 1 must be cleared before error 2 will display</t>
  </si>
  <si>
    <t>Error Msg 1:</t>
  </si>
  <si>
    <t>Error Msg 2:</t>
  </si>
  <si>
    <t>Error 2:</t>
  </si>
  <si>
    <t>Error 1:</t>
  </si>
  <si>
    <t>Note: Error 2 will not show until error 1 is cleared.</t>
  </si>
  <si>
    <t>You indicated above that 100% of your income could not be allocated to one RITA municipality.  Therefore, you must complete the sections above necessary to allocate your income.</t>
  </si>
  <si>
    <t>Error 2 Check</t>
  </si>
  <si>
    <t>err:</t>
  </si>
  <si>
    <r>
      <t>Municipalities</t>
    </r>
    <r>
      <rPr>
        <sz val="8"/>
        <rFont val="Arial"/>
        <family val="2"/>
      </rPr>
      <t xml:space="preserve"> </t>
    </r>
    <r>
      <rPr>
        <sz val="7"/>
        <rFont val="Arial"/>
        <family val="2"/>
      </rPr>
      <t>(You must choose at least one)</t>
    </r>
  </si>
  <si>
    <t>You must select at least one RITA municipality before continuing.  Select RITA municipalities using the "Municipalities" drop-down lists near the top of this worksheet.</t>
  </si>
  <si>
    <t>Improved error warnings for Schedule Y data</t>
  </si>
  <si>
    <t>Build NOL City Name Strings are in yellow highlighted cells below</t>
  </si>
  <si>
    <t>Added warning about cities that restrict NOLs to 1 yr to Complete this Page NOL Schedule area</t>
  </si>
  <si>
    <t>NOL carryover section of Complete This Page now calculate avaiable NOL based on yr limits</t>
  </si>
  <si>
    <t>NOLs restricted to 1 year are now correctly restricted when calc'ing taxable income (changed formulas on Carryovers tab).</t>
  </si>
  <si>
    <t>When using the auto-calc all amounts must be rounded.  To round, drop amounts under 50 cents and increase amounts 50 cents or greater to the next dollar.</t>
  </si>
  <si>
    <t>The federal return reports a capital loss carryback.</t>
  </si>
  <si>
    <r>
      <t xml:space="preserve">The following schedule is used only by taxpayers who are not C corporations.  The Ohio Revised Code §718.01(A)(1)(g) requires that these taxpayers calculate their adjusted federal income as if they were C corporations.  Thus, non-C corporations must track the C corporation carryovers listed below for municipal tax purposes.  The amounts entered below by non-C corporations should match what would have been claimed for </t>
    </r>
    <r>
      <rPr>
        <b/>
        <sz val="8"/>
        <rFont val="Arial"/>
        <family val="2"/>
      </rPr>
      <t>federal</t>
    </r>
    <r>
      <rPr>
        <sz val="8"/>
        <rFont val="Arial"/>
        <family val="2"/>
      </rPr>
      <t xml:space="preserve"> tax purposes if the taxpayer was a C corporation.  C corporations should attach copies of their federal carryover schedules to their municipal tax return.</t>
    </r>
  </si>
  <si>
    <r>
      <t xml:space="preserve">Charitiable contribution carryovers </t>
    </r>
    <r>
      <rPr>
        <sz val="8"/>
        <rFont val="Arial"/>
        <family val="2"/>
      </rPr>
      <t>and</t>
    </r>
    <r>
      <rPr>
        <b/>
        <sz val="8"/>
        <rFont val="Arial"/>
        <family val="2"/>
      </rPr>
      <t xml:space="preserve"> capital loss carryovers</t>
    </r>
    <r>
      <rPr>
        <sz val="8"/>
        <rFont val="Arial"/>
        <family val="2"/>
      </rPr>
      <t xml:space="preserve"> are calculated based on your </t>
    </r>
    <r>
      <rPr>
        <i/>
        <sz val="8"/>
        <rFont val="Arial"/>
        <family val="2"/>
      </rPr>
      <t>federal taxable income</t>
    </r>
    <r>
      <rPr>
        <sz val="8"/>
        <rFont val="Arial"/>
        <family val="2"/>
      </rPr>
      <t xml:space="preserve"> and are not tracked by municipality.  These amounts are used to calculated the allowable charitable contribtuion deduction and the allowable capital loss deduction.</t>
    </r>
  </si>
  <si>
    <t>Div by zero err when allocating override est if current yr loss &amp; credit carryover</t>
  </si>
  <si>
    <t>Added some error trapping for error messages on Data tab cells E262-E266</t>
  </si>
  <si>
    <t>Updated Print Return tab to pull tax rate for computing estimate due from new Estimate Tax Rate column on Cities tab</t>
  </si>
  <si>
    <t>Corrected Sheffield Village tax rate change date on Tax Rate tab (5/30/09)</t>
  </si>
  <si>
    <t>Corrected start date of Stratton tax on Tax Rate tab (8/01/08)</t>
  </si>
  <si>
    <t>Added Wellston rate change to Tax Rate tab (12/01/05)</t>
  </si>
  <si>
    <t>Added West Elkton rate change to Tax Rate tab (1/01/06)</t>
  </si>
  <si>
    <t>Corrected start date &amp; rates for Woodstock on Tax Rate tab &amp; Cities tab (7/01/06)</t>
  </si>
  <si>
    <t>Need to update estimate calc to pull tax rate from next year since tax rates are no longer predictably stable year to year.</t>
  </si>
  <si>
    <t>Comment: Estimates are calculated after NOL and do not take into account if any NOLs will be available in the estimate year.  May want to revisit this, but current estimate calc will meet safe-harbor requirements.</t>
  </si>
  <si>
    <t>Updated conditional formating on Print Return tab so that when a municipality is selected by the taxpayer for a period where that municipalities tax rate was 0%, the income apportioned to that municipality will appear so that Sched B will tie to Line 4.</t>
  </si>
  <si>
    <t>Updated Instructions tab for return dates covered</t>
  </si>
  <si>
    <t>Richard D</t>
  </si>
  <si>
    <t>Updated version number on Complete This Page tab</t>
  </si>
  <si>
    <t>Updated/confirmed Tax Rates tab for the tax rates &amp; effective dates for: Antwerp, Cairo, Chardon, Grandview Heights, Huron, McClure, Mineral City, Saint Clairsville, Sardinia, &amp; the Youngstown Girard JEDZ.</t>
  </si>
  <si>
    <t>Updated/confirmed Cities tab for the tax rates &amp; effective dates and NOL info for multiple cities (used green font to show what I update/verified).</t>
  </si>
  <si>
    <t>Expanded Overflow tab to handle 45 cities</t>
  </si>
  <si>
    <r>
      <t>Caution</t>
    </r>
    <r>
      <rPr>
        <sz val="12"/>
        <rFont val="Arial"/>
        <family val="2"/>
      </rPr>
      <t xml:space="preserve">: </t>
    </r>
    <r>
      <rPr>
        <sz val="9"/>
        <rFont val="Arial"/>
        <family val="2"/>
      </rPr>
      <t>This form does not adjust for tax rate changes that may have taken place during the tax year.</t>
    </r>
  </si>
  <si>
    <t>Fixed error on data ranges on Overflow tab so Youngstown Girard JEDZ now appears</t>
  </si>
  <si>
    <t>Fixed conditional formatting in Estimate section of Return (half a box no longer appears inappropriately)</t>
  </si>
  <si>
    <t>Added a check to supress Division by Zero error on the printed returns Schedule Y when 100% of income allocated to only one municipality</t>
  </si>
  <si>
    <t>Cities Tab: Used a blended rate for Antwerp for 2006 (red font). Don't think blended rate are used anymore. Tomek will need to verify/correct this.</t>
  </si>
  <si>
    <t>Reference Tab needs updated… IRS has not yet released any 2010 business forms.</t>
  </si>
  <si>
    <t>Depletable assets (original cost-beginning)</t>
  </si>
  <si>
    <t>Depletable assets (original cost-ending)</t>
  </si>
  <si>
    <t>Land (original cost-beginning)</t>
  </si>
  <si>
    <t>Land (original cost-ending)</t>
  </si>
  <si>
    <t>Net section 1231 gain (loss) (attach Form 4797)</t>
  </si>
  <si>
    <t>1120S, Sched L, Ln 10a(c)</t>
  </si>
  <si>
    <t>1120S, Sched L, Ln 11a(a)</t>
  </si>
  <si>
    <t>1120S, Sched L, Ln 11a(c)</t>
  </si>
  <si>
    <t>1120S, Sched L, Ln 12(b)</t>
  </si>
  <si>
    <t>1120S, Sched L, Ln 12(d)</t>
  </si>
  <si>
    <t>Current</t>
  </si>
  <si>
    <t>Domestic Production Activities</t>
  </si>
  <si>
    <t>8903, Ln 19</t>
  </si>
  <si>
    <t>8903, Ln 23</t>
  </si>
  <si>
    <r>
      <t xml:space="preserve">Need to add tracking of </t>
    </r>
    <r>
      <rPr>
        <b/>
        <sz val="10"/>
        <rFont val="Arial"/>
        <family val="2"/>
      </rPr>
      <t>Domestic Production Activities</t>
    </r>
    <r>
      <rPr>
        <sz val="10"/>
        <rFont val="Arial"/>
        <family val="2"/>
      </rPr>
      <t xml:space="preserve"> deduction for proper calculation of </t>
    </r>
    <r>
      <rPr>
        <b/>
        <sz val="10"/>
        <rFont val="Arial"/>
        <family val="2"/>
      </rPr>
      <t>charitable contribution limitation</t>
    </r>
    <r>
      <rPr>
        <sz val="10"/>
        <rFont val="Arial"/>
        <family val="2"/>
      </rPr>
      <t>.</t>
    </r>
  </si>
  <si>
    <t>Noted</t>
  </si>
  <si>
    <t>Completed</t>
  </si>
  <si>
    <r>
      <t xml:space="preserve">Need to capture taxes </t>
    </r>
    <r>
      <rPr>
        <b/>
        <sz val="10"/>
        <rFont val="Arial"/>
        <family val="2"/>
      </rPr>
      <t>based on income</t>
    </r>
    <r>
      <rPr>
        <sz val="10"/>
        <rFont val="Arial"/>
        <family val="2"/>
      </rPr>
      <t xml:space="preserve"> reported on </t>
    </r>
    <r>
      <rPr>
        <b/>
        <sz val="10"/>
        <rFont val="Arial"/>
        <family val="2"/>
      </rPr>
      <t>Form 8825</t>
    </r>
    <r>
      <rPr>
        <sz val="10"/>
        <rFont val="Arial"/>
        <family val="2"/>
      </rPr>
      <t>: Rental Income.</t>
    </r>
  </si>
  <si>
    <r>
      <t xml:space="preserve">Need to warn that capital loss </t>
    </r>
    <r>
      <rPr>
        <b/>
        <sz val="10"/>
        <rFont val="Arial"/>
        <family val="2"/>
      </rPr>
      <t>carrybacks not supported</t>
    </r>
    <r>
      <rPr>
        <sz val="10"/>
        <rFont val="Arial"/>
        <family val="2"/>
      </rPr>
      <t>.</t>
    </r>
  </si>
  <si>
    <t>Need to produce schedules that track municipal carryovers of 179 deductions</t>
  </si>
  <si>
    <t>Need to produce schedules that track municipal carryovers of charitable contributions</t>
  </si>
  <si>
    <t>Need to produce schedules that track municipal carryovers of Net Operating Losses</t>
  </si>
  <si>
    <t>Need to produce schedules that track municipal carryovers of capital losses</t>
  </si>
  <si>
    <t>Need to warn that short-year returns are not supported.</t>
  </si>
  <si>
    <t>Something about Schedule K, Line 13d, but I cannot remember.  I think Form 1065.</t>
  </si>
  <si>
    <t>Need to add to error message if tax year not chosen at top</t>
  </si>
  <si>
    <t>Alicia</t>
  </si>
  <si>
    <t>Me</t>
  </si>
  <si>
    <t>Add default year (blank?) on "complete this page" schedule if tax year not chosen</t>
  </si>
  <si>
    <t>If you claimed a deduction under IRC section 249 (related to the cost of borrowing used to repurchase bonds you issued), you may not use this form.</t>
  </si>
  <si>
    <t>Tax Year Used for Rates:</t>
  </si>
  <si>
    <t>Comments</t>
  </si>
  <si>
    <t>no longer necessary due to policy clarification</t>
  </si>
  <si>
    <t>Per Mark Taranto &amp; Alicia Kline, capital loss deduction &amp; carryovers are based federal taxable income, and thus should always match the "c-corp" federal tax amounts.</t>
  </si>
  <si>
    <t>Per Mark Taranto &amp; Alicia Kline, contribution deductions &amp; carryovers are based federal taxable income, and thus should always match the "c-corp" federal tax amounts.</t>
  </si>
  <si>
    <t>Per Mark Taranto &amp; Alicia Kline, 179 deductions &amp; carryovers are based federal taxable income, and thus should always match the "c-corp" federal tax amounts.</t>
  </si>
  <si>
    <t>Carryovers</t>
  </si>
  <si>
    <t>Sched D, Part I, Ln 5</t>
  </si>
  <si>
    <t>Sched D, Part I, Lns 1a &amp; 1b</t>
  </si>
  <si>
    <t>Sched D, Part II, Lns 6a &amp; 6b</t>
  </si>
  <si>
    <t>Section 179 expense deduction (current year)</t>
  </si>
  <si>
    <t>§179 Carryover to Next Year</t>
  </si>
  <si>
    <t>4562, Part I, Ln 13</t>
  </si>
  <si>
    <t xml:space="preserve">  </t>
  </si>
  <si>
    <t>Schedule Y (Expanded)</t>
  </si>
  <si>
    <t>Version 2008.1 Starts Here</t>
  </si>
  <si>
    <t>Property Owned?</t>
  </si>
  <si>
    <t>Property Rented?</t>
  </si>
  <si>
    <t>Wages?</t>
  </si>
  <si>
    <t>Sales?</t>
  </si>
  <si>
    <t>Sched Y Local</t>
  </si>
  <si>
    <t>Added better error handling of Schedule Y.. Zero allocation no longer treated as no allocation.</t>
  </si>
  <si>
    <r>
      <t>Attachment to</t>
    </r>
    <r>
      <rPr>
        <sz val="10"/>
        <rFont val="Arial"/>
        <family val="2"/>
      </rPr>
      <t xml:space="preserve"> Form </t>
    </r>
    <r>
      <rPr>
        <sz val="22"/>
        <rFont val="Arial"/>
        <family val="2"/>
      </rPr>
      <t>27</t>
    </r>
  </si>
  <si>
    <t>Schedule B (Expanded)</t>
  </si>
  <si>
    <t>Too damn difficult to calc correct contribution deduction for non-C corps when this happens</t>
  </si>
  <si>
    <t>Version 0.7 Starts Here</t>
  </si>
  <si>
    <t>Need to add Sched E "taxes based on income" reference for Schedule E (1040)</t>
  </si>
  <si>
    <t>Warn if a non-C corp with a Domestic Production Activities Deduction &amp; contribution deduction in same year, they cannot use autocalc.</t>
  </si>
  <si>
    <t>Year Unused Carryover Generated</t>
  </si>
  <si>
    <t>Year Unused Municipal NOL Generated</t>
  </si>
  <si>
    <t>Federal Carryovers</t>
  </si>
  <si>
    <t>Need fed NOL to calc allowable charitable contribution deduction.</t>
  </si>
  <si>
    <t>Is C-Corp?</t>
  </si>
  <si>
    <t>No NOL City Names</t>
  </si>
  <si>
    <t>3yr NOL Cities</t>
  </si>
  <si>
    <t>Add warning that non-C corp info entered on C corp</t>
  </si>
  <si>
    <t xml:space="preserve">  Claimed Current</t>
  </si>
  <si>
    <t xml:space="preserve">  Claimed Prior</t>
  </si>
  <si>
    <t xml:space="preserve">  Used Current</t>
  </si>
  <si>
    <t xml:space="preserve">  Available</t>
  </si>
  <si>
    <t xml:space="preserve">  Disallowed Current</t>
  </si>
  <si>
    <t xml:space="preserve">  Prior Yr Amts Used</t>
  </si>
  <si>
    <t xml:space="preserve">  AFTI Adjustment</t>
  </si>
  <si>
    <t>AFTI Income Adjustments</t>
  </si>
  <si>
    <t>Capital Losses</t>
  </si>
  <si>
    <t>Pulled directly from "Print Schedules" onto "Print Return"</t>
  </si>
  <si>
    <t>Interplay w/ Sched X</t>
  </si>
  <si>
    <t>How to Use This Form</t>
  </si>
  <si>
    <t>Version 2007.2 Starts Here</t>
  </si>
  <si>
    <t>Fixed several unused cells that were not protected on "Complete this Page"</t>
  </si>
  <si>
    <t>No explanation provided</t>
  </si>
  <si>
    <t>Updated Page 4 of "Print Return" to pull in Schedule Y-1 info from "Complete this Page"</t>
  </si>
  <si>
    <t>Added data gathering to for Schedule Y-1 to "Complete this Page"</t>
  </si>
  <si>
    <t>Fixed "need to explain wage variance" message not firing correctly when 1 RITA city chosen but income is allocated (to non-RITA tax districts)</t>
  </si>
  <si>
    <t>Instructions for Form 27 and the answers to frequently asked questions regarding the net profits tax are available on-line at www.ritaohio.com.</t>
  </si>
  <si>
    <t>Reason for Final Return</t>
  </si>
  <si>
    <r>
      <t>Disallowed §179 carryovers</t>
    </r>
    <r>
      <rPr>
        <sz val="8"/>
        <rFont val="Arial"/>
        <family val="2"/>
      </rPr>
      <t xml:space="preserve"> are calculated based on your </t>
    </r>
    <r>
      <rPr>
        <i/>
        <sz val="8"/>
        <rFont val="Arial"/>
        <family val="2"/>
      </rPr>
      <t>federal taxable income calculated, like all other items in this section, as if you were a C corporation</t>
    </r>
    <r>
      <rPr>
        <sz val="8"/>
        <rFont val="Arial"/>
        <family val="2"/>
      </rPr>
      <t>.</t>
    </r>
  </si>
  <si>
    <t>Carryovers of Disallowed §179</t>
  </si>
  <si>
    <t xml:space="preserve">  Current Disallowed</t>
  </si>
  <si>
    <r>
      <t>Note:</t>
    </r>
    <r>
      <rPr>
        <i/>
        <sz val="8"/>
        <rFont val="Arial"/>
        <family val="2"/>
      </rPr>
      <t xml:space="preserve"> Line 24 does not included a deduction for guaranteed payments and thus satisfies the requirements of ORC §718.01(A)(1)(g)(i).</t>
    </r>
  </si>
  <si>
    <r>
      <t>Income limitation.</t>
    </r>
    <r>
      <rPr>
        <sz val="10"/>
        <rFont val="Arial"/>
        <family val="2"/>
      </rPr>
      <t xml:space="preserve"> Enter taxable income before DPAD from line 30 below</t>
    </r>
  </si>
  <si>
    <t>Complete "Form 8903" Tab</t>
  </si>
  <si>
    <t>Add lines 1 and 2</t>
  </si>
  <si>
    <t>Local Property</t>
  </si>
  <si>
    <t>Property %</t>
  </si>
  <si>
    <t>Wage</t>
  </si>
  <si>
    <t>Local
Wages</t>
  </si>
  <si>
    <t>Wage
%</t>
  </si>
  <si>
    <t>Local
Rents x 8</t>
  </si>
  <si>
    <t>Local
Prop Costs</t>
  </si>
  <si>
    <t>Added cautionary warning to "Complete this Page" re: 1221 &amp; 1231 losses for C-corporations (we had issues where users were entering losses that appeared on Schedule D and Form 4797 even when those losses were not included in federal taxable income do to loss limitation rules and some 1120 weirdness caused by a member of a consolidated group filing separately).</t>
  </si>
  <si>
    <t>Interest</t>
  </si>
  <si>
    <t>§1221  S-T</t>
  </si>
  <si>
    <t>§1221  L-T</t>
  </si>
  <si>
    <t>§1231</t>
  </si>
  <si>
    <t>§291 Adj</t>
  </si>
  <si>
    <t>Enhanced Schedule X on the tax return to show breakdowns of certain items (interest, dividends, royalties, etc) to speed up the 6 point audit check</t>
  </si>
  <si>
    <t>Local
Receipts</t>
  </si>
  <si>
    <t>Receipts
%</t>
  </si>
  <si>
    <t>Average
%</t>
  </si>
  <si>
    <t>H</t>
  </si>
  <si>
    <t>Business Wide Apportionment Factors</t>
  </si>
  <si>
    <t>Calculation of Local Apportionment Factors</t>
  </si>
  <si>
    <t>Average original cost of real and tangible property wherever situated</t>
  </si>
  <si>
    <t>Total wages, commissions and other compensation paid to employees, wherever their services are performed</t>
  </si>
  <si>
    <t>Gross receipts from sales and services performed, wherever made or performed</t>
  </si>
  <si>
    <t>I</t>
  </si>
  <si>
    <t>J</t>
  </si>
  <si>
    <t>Calculation of Apportionment Denominator</t>
  </si>
  <si>
    <t>If line 3 is zero or blank, enter -0-.  Otherwise enter a one (1) on this line.</t>
  </si>
  <si>
    <t>If line 4 is zero or blank, enter -0-.  Otherwise enter a one (1) on this line.</t>
  </si>
  <si>
    <t>If line 5 is zero or blank, enter -0-.  Otherwise enter a one (1) on this line.</t>
  </si>
  <si>
    <t>Add lines 6 through 8.  If the amount cannot be less than 1 or greater than 3.</t>
  </si>
  <si>
    <t>2011 Form Revisions Schedule Y Checks</t>
  </si>
  <si>
    <t>Prop</t>
  </si>
  <si>
    <t>Sales</t>
  </si>
  <si>
    <t>Avg %</t>
  </si>
  <si>
    <t>I CERTIFY I HAVE EXAMINED THIS RETURN, INCLUDING ACCOMPANYING SCHEDULES AND STATEMENTS, AND TO THE BEST OF MY KNOWLEDGE AND BELIEF IT IS TRUE, CORRECT AND COMPLETE, AND THAT THE FIGURES USED HEREIN ARE THE SAME AS USED FOR FEDERAL INCOME TAX PURPOSES.</t>
  </si>
  <si>
    <t>Combine the amounts in column J for lines 10 through 14.  Enter the total here and on page 1, line 3B.</t>
  </si>
  <si>
    <t>The tab labeled "Form 8903" has been provided for taxpayers that are not C corporations that are claiming an domestic production activities deduction (DPAD) on Schedule X.</t>
  </si>
  <si>
    <t>Version 2009.2 Starts Here</t>
  </si>
  <si>
    <t>Added support for tracking disallowed section 179 carryovers for non-C corps for DPAD adjustment</t>
  </si>
  <si>
    <t>Updated Instructions tab for Form 8903</t>
  </si>
  <si>
    <t>Removed ability to directly add DPAD deduction on "Complete This Page" to force use of "Form 8903" tab.</t>
  </si>
  <si>
    <t>Added "Form 8903" tab for non-C corporations claiming a domestic production activities deduction as a result of the number of errors in calculating the schedule X adjustment for the deduction that have been seen in the last year (i.e. not applying 6% of income or 50% of wages limitations).</t>
  </si>
  <si>
    <t>Updated Version number</t>
  </si>
  <si>
    <t>Out of Business</t>
  </si>
  <si>
    <t>Part of 1065, Pg 1, Ln 14 &amp; Part of 8825, Ln 11</t>
  </si>
  <si>
    <t>Part of Form 1120S, Pg 1, Ln 12 &amp; Part of 8825, Ln 11</t>
  </si>
  <si>
    <r>
      <t xml:space="preserve">Unrecaptured </t>
    </r>
    <r>
      <rPr>
        <b/>
        <sz val="8"/>
        <rFont val="Arial"/>
        <family val="2"/>
      </rPr>
      <t>§</t>
    </r>
    <r>
      <rPr>
        <b/>
        <sz val="8"/>
        <rFont val="Arial"/>
        <family val="2"/>
      </rPr>
      <t>1231 losses</t>
    </r>
    <r>
      <rPr>
        <sz val="8"/>
        <rFont val="Arial"/>
        <family val="2"/>
      </rPr>
      <t xml:space="preserve"> and the</t>
    </r>
    <r>
      <rPr>
        <b/>
        <sz val="8"/>
        <rFont val="Arial"/>
        <family val="2"/>
      </rPr>
      <t xml:space="preserve"> federal net operating loss </t>
    </r>
    <r>
      <rPr>
        <sz val="8"/>
        <rFont val="Arial"/>
        <family val="2"/>
      </rPr>
      <t>are need to convert a non-C corporation's income into a C corporation's income per ORC 718.01(A)(1)(g).  The §1231 losses are used to determine the allowable capital losses, and the federal net operating loss is use in determining the allowable charitable contribution deduction.</t>
    </r>
  </si>
  <si>
    <t>Unrecaptured §1231 Losses</t>
  </si>
  <si>
    <t>Partners' Information                  (Form 1065 Filers Only)</t>
  </si>
  <si>
    <t>Warn that Seven Year NOL Carryovers not supported</t>
  </si>
  <si>
    <t>End of Instructions</t>
  </si>
  <si>
    <r>
      <t>ò</t>
    </r>
    <r>
      <rPr>
        <sz val="7"/>
        <rFont val="Arial"/>
        <family val="2"/>
      </rPr>
      <t>Continue</t>
    </r>
    <r>
      <rPr>
        <sz val="7"/>
        <rFont val="Wingdings"/>
        <charset val="2"/>
      </rPr>
      <t>ò</t>
    </r>
  </si>
  <si>
    <t>Supporting Schedules</t>
  </si>
  <si>
    <t xml:space="preserve">   Identifying Number</t>
  </si>
  <si>
    <t>Name shown on return</t>
  </si>
  <si>
    <t>Need "out of business"</t>
  </si>
  <si>
    <t>Need taxpayer id on each page</t>
  </si>
  <si>
    <t>Activate Municipal NOL calculations</t>
  </si>
  <si>
    <t>Activate non-C corp AFTI calculations</t>
  </si>
  <si>
    <t>Part A: Federal Taxable Income as if a C Corporation</t>
  </si>
  <si>
    <t>Beginning of Year</t>
  </si>
  <si>
    <t>End of Year</t>
  </si>
  <si>
    <t>Municipal NOLs</t>
  </si>
  <si>
    <t xml:space="preserve">   Municipal Net Operating Loss Carryovers</t>
  </si>
  <si>
    <t xml:space="preserve">   Federal Carryover Information</t>
  </si>
  <si>
    <t>Year Carryover Generated</t>
  </si>
  <si>
    <t>Federal Net Operating Losses</t>
  </si>
  <si>
    <t>Part B: Capital Losses</t>
  </si>
  <si>
    <t xml:space="preserve">   Adjusted Federal Taxable Income Calculation</t>
  </si>
  <si>
    <r>
      <t>Attachment to</t>
    </r>
    <r>
      <rPr>
        <sz val="10"/>
        <rFont val="Arial"/>
        <family val="2"/>
      </rPr>
      <t xml:space="preserve"> Form</t>
    </r>
  </si>
  <si>
    <t>Yrs</t>
  </si>
  <si>
    <t>Check that 3 year NOL calculate correctly</t>
  </si>
  <si>
    <t>Add warning of 3 year NOL limit</t>
  </si>
  <si>
    <t>Bellevue</t>
  </si>
  <si>
    <t>New Franklin</t>
  </si>
  <si>
    <t>Mentor</t>
  </si>
  <si>
    <t>Willoughby</t>
  </si>
  <si>
    <t>Form 27</t>
  </si>
  <si>
    <t>Municipality</t>
  </si>
  <si>
    <r>
      <t>Schedule Y-1:</t>
    </r>
    <r>
      <rPr>
        <sz val="12"/>
        <rFont val="Arial"/>
        <family val="2"/>
      </rPr>
      <t xml:space="preserve"> Reconciliation of Schedule Y Wages to Withholding Returns</t>
    </r>
  </si>
  <si>
    <t>Buckland</t>
  </si>
  <si>
    <t>Catawba</t>
  </si>
  <si>
    <t>Hopedale</t>
  </si>
  <si>
    <t>McDonald</t>
  </si>
  <si>
    <t>Morral</t>
  </si>
  <si>
    <t>Mount Healthy</t>
  </si>
  <si>
    <t>Mount Victory</t>
  </si>
  <si>
    <t>New Riegel</t>
  </si>
  <si>
    <t>Owensville</t>
  </si>
  <si>
    <t>Pleasantville</t>
  </si>
  <si>
    <t>North Robinson</t>
  </si>
  <si>
    <t>Rio Grande</t>
  </si>
  <si>
    <t>Sycamore</t>
  </si>
  <si>
    <t>Tiro</t>
  </si>
  <si>
    <t>Gratis</t>
  </si>
  <si>
    <t>Jeromesville</t>
  </si>
  <si>
    <t>Name:</t>
  </si>
  <si>
    <r>
      <t xml:space="preserve">Charitiable contribution carryovers, section 179 carryovers, </t>
    </r>
    <r>
      <rPr>
        <sz val="8"/>
        <rFont val="Arial"/>
        <family val="2"/>
      </rPr>
      <t>and</t>
    </r>
    <r>
      <rPr>
        <b/>
        <sz val="8"/>
        <rFont val="Arial"/>
        <family val="2"/>
      </rPr>
      <t xml:space="preserve"> capital loss carryovers</t>
    </r>
    <r>
      <rPr>
        <sz val="8"/>
        <rFont val="Arial"/>
        <family val="2"/>
      </rPr>
      <t xml:space="preserve"> are calculated based on your </t>
    </r>
    <r>
      <rPr>
        <i/>
        <sz val="8"/>
        <rFont val="Arial"/>
        <family val="2"/>
      </rPr>
      <t>federal taxable income</t>
    </r>
    <r>
      <rPr>
        <sz val="8"/>
        <rFont val="Arial"/>
        <family val="2"/>
      </rPr>
      <t>, and are not tracked by municipality.  Since these amounts are always the same as a C corporation's federal taxable amounts, only taxpayers who are not C corporations and not individuals need to complete the schedule below.  C corporation should attach copies of their federal carryover schedules to their municipal tax return.  The amounts entered below by non-C corporations should match what would have claimed for federal tax purposes if the taxpayer was a C corporation.</t>
    </r>
  </si>
  <si>
    <t>Rounding Off to Whole Dollars</t>
  </si>
  <si>
    <t>Gary</t>
  </si>
  <si>
    <t>Add a positive sentence or two to "Who may use this form"</t>
  </si>
  <si>
    <t>Change disclaimer to advise use of this form does not exempt from audit or P&amp;I.</t>
  </si>
  <si>
    <t>Worksheet Creator: Richard Donnelly, RITA Business Examiner</t>
  </si>
  <si>
    <t>Add instruction on rounding</t>
  </si>
  <si>
    <t>Add "Make check payable to RITA" instruction.</t>
  </si>
  <si>
    <t>Need to calculate "C Corp" income for charitiable contributions deduction by non-c corps</t>
  </si>
  <si>
    <t>Need to calculate "C Corp" income for section 179 deduction by non-c corps</t>
  </si>
  <si>
    <t>Need to calculate allowable capital losses so I can calculate "C Corp" income for non-c corps</t>
  </si>
  <si>
    <t>Charitable contributions deducted in the current year</t>
  </si>
  <si>
    <t>Section 179 deduction in the current year</t>
  </si>
  <si>
    <t>FEDERAL TAXABLE INCOME CALCULATION</t>
  </si>
  <si>
    <t>Unrecovered §1231 Losses</t>
  </si>
  <si>
    <t>Part II: Capital Losses</t>
  </si>
  <si>
    <t>Net short-term capital gain (loss) (attach Sched D)</t>
  </si>
  <si>
    <t>Credit Limit</t>
  </si>
  <si>
    <t>Net long-term capital gain (loss) (attach Sched D)</t>
  </si>
  <si>
    <t>Net section 1231 gain (attach Form 4797)</t>
  </si>
  <si>
    <t>Warn when carryovers entered as negative numbers</t>
  </si>
  <si>
    <t>Federal Carryover Information from Your Records</t>
  </si>
  <si>
    <t>Municipal</t>
  </si>
  <si>
    <t>Corrected range for the drop down cities list (the Youngstown JEDZ was out of range)</t>
  </si>
  <si>
    <t>Corrected the tax rate dates for several cities on the Tax Rates &amp; Cities tabs to match their ordinances (RiTax updated by Mark T)</t>
  </si>
  <si>
    <t>Locked all pages w/ passwords &amp; gave approval to post on website</t>
  </si>
  <si>
    <t>Fixed "Not allocating 100% to single city" error always firing (broke during prior update)</t>
  </si>
  <si>
    <r>
      <t>Municipal net operating loss carryovers</t>
    </r>
    <r>
      <rPr>
        <sz val="8"/>
        <rFont val="Arial"/>
        <family val="2"/>
      </rPr>
      <t xml:space="preserve"> are calculated based on your </t>
    </r>
    <r>
      <rPr>
        <i/>
        <sz val="8"/>
        <rFont val="Arial"/>
        <family val="2"/>
      </rPr>
      <t>adjusted federal taxable income</t>
    </r>
    <r>
      <rPr>
        <sz val="8"/>
        <rFont val="Arial"/>
        <family val="2"/>
      </rPr>
      <t xml:space="preserve"> (municipal taxable income), and must be tracked by municipality.  A net operating loss generated in one year in one municipality may not be used to reduce the taxable income of a different municipality in a subsequent year.</t>
    </r>
  </si>
  <si>
    <t>Part I: Federal Taxable Income as if a C Corporation</t>
  </si>
  <si>
    <t>Company Name</t>
  </si>
  <si>
    <t>Address #</t>
  </si>
  <si>
    <t>City</t>
  </si>
  <si>
    <t>Street Name</t>
  </si>
  <si>
    <t>Zip Code</t>
  </si>
  <si>
    <t>State</t>
  </si>
  <si>
    <t>Suite No.</t>
  </si>
  <si>
    <t>FOR CALENDAR YEAR</t>
  </si>
  <si>
    <t>A.</t>
  </si>
  <si>
    <t>Tax Year</t>
  </si>
  <si>
    <t>OR FISCAL YEAR BEGINNING</t>
  </si>
  <si>
    <t>AND ENDING</t>
  </si>
  <si>
    <t>BUSINESS TYPE:</t>
  </si>
  <si>
    <t>Add 2A</t>
  </si>
  <si>
    <t>A</t>
  </si>
  <si>
    <t>Upper Arlington</t>
  </si>
  <si>
    <t>6A</t>
  </si>
  <si>
    <t>B.</t>
  </si>
  <si>
    <t>If Schedule Y, Page 4 is used</t>
  </si>
  <si>
    <t>(if more space is needed, attach additional schedule)</t>
  </si>
  <si>
    <t>Municipality Name</t>
  </si>
  <si>
    <t>Taxable Income</t>
  </si>
  <si>
    <t>Tax Rate</t>
  </si>
  <si>
    <t>Tax Due</t>
  </si>
  <si>
    <t>Business Type</t>
  </si>
  <si>
    <t>C Corporation</t>
  </si>
  <si>
    <t>S Corporation</t>
  </si>
  <si>
    <t>Partnership</t>
  </si>
  <si>
    <t>Other</t>
  </si>
  <si>
    <t>Error Check</t>
  </si>
  <si>
    <t>Amended?</t>
  </si>
  <si>
    <t>Allocations</t>
  </si>
  <si>
    <t xml:space="preserve">  City Index 1</t>
  </si>
  <si>
    <t xml:space="preserve">  City Index 2</t>
  </si>
  <si>
    <t xml:space="preserve">  City Index 3</t>
  </si>
  <si>
    <t xml:space="preserve">  City Index 4</t>
  </si>
  <si>
    <t xml:space="preserve">  City Index 5</t>
  </si>
  <si>
    <t>Index #</t>
  </si>
  <si>
    <t>Consolidated?</t>
  </si>
  <si>
    <t>(Per attached Federal Form 1120 (Page 1, Line 28) or the equivalent)</t>
  </si>
  <si>
    <t>Form 27 Mod 1</t>
  </si>
  <si>
    <t>Street #</t>
  </si>
  <si>
    <t>Suite #</t>
  </si>
  <si>
    <t>Company</t>
  </si>
  <si>
    <t>Zip</t>
  </si>
  <si>
    <t>Federal EIN</t>
  </si>
  <si>
    <t>Business Activity Code</t>
  </si>
  <si>
    <t>Business Activity Description</t>
  </si>
  <si>
    <t>Warnings:</t>
  </si>
  <si>
    <t>City #</t>
  </si>
  <si>
    <t>Form 1065, Pg 5, Analysis of Net Income, Ln 1</t>
  </si>
  <si>
    <t>1120-A Retired: File 1120</t>
  </si>
  <si>
    <t>1yr NOL Cities</t>
  </si>
  <si>
    <t>Updated Fed Form References for 2008.  1120-REIT &amp; 8903 references a guess</t>
  </si>
  <si>
    <t>me</t>
  </si>
  <si>
    <t>Updated warnings to handle NOL's restricted to 1 year.</t>
  </si>
  <si>
    <t>New Richmond</t>
  </si>
  <si>
    <t>Update Form Print Layout to match current paper form layout</t>
  </si>
  <si>
    <t>Check if:</t>
  </si>
  <si>
    <t>Federal Business Activity Code #:</t>
  </si>
  <si>
    <t>Business Activity:</t>
  </si>
  <si>
    <t>Moved Out of RITA</t>
  </si>
  <si>
    <t>Initial RITA Rtn?</t>
  </si>
  <si>
    <t>FORM 27</t>
  </si>
  <si>
    <t>TOTAL TAX DISTRIBUTED BELOW MUST EQUAL AMOUNT FROM PAGE 1, LINE 5</t>
  </si>
  <si>
    <t>COMPUTATION OF ESTIMATED TAX</t>
  </si>
  <si>
    <t>Estimated Tax Allocation/Distribution From Line 8A</t>
  </si>
  <si>
    <t>Estimated Tax (from allocation/distribution above)</t>
  </si>
  <si>
    <t>(IF LINE 8A IS LEFT BLANK, AN ESTIMATE WILL BE CREATED FOR YOU BASED ON YOUR PRIOR YEAR'S TAX LIABILITY AND MUNICIPAL ALLOCATION)</t>
  </si>
  <si>
    <t>u</t>
  </si>
  <si>
    <t>NOTE: Must complete Schedule B on Page 2</t>
  </si>
  <si>
    <t>TOTAL CREDITS ALLOWABLE (Line 6A + 6B)</t>
  </si>
  <si>
    <t>TAXES BASED ON INCOME</t>
  </si>
  <si>
    <r>
      <t xml:space="preserve">5% OF THE AMOUNT DEDUCTED AS INTANGIBLE INCOME NOT DIRECTLY RELATED TO THE SALE, EXCHANGE OR OTHER DISPOSITION OF IRC §1221 INTANGIBLE PROPERTY  </t>
    </r>
    <r>
      <rPr>
        <sz val="7"/>
        <rFont val="Arial"/>
        <family val="2"/>
      </rPr>
      <t>(Multiply Schedule X, Line O below by 0.05)</t>
    </r>
  </si>
  <si>
    <t>PRINT NAME</t>
  </si>
  <si>
    <t>PHONE</t>
  </si>
  <si>
    <t>Taxpayer's Phone:</t>
  </si>
  <si>
    <r>
      <t xml:space="preserve">Schedule X </t>
    </r>
    <r>
      <rPr>
        <b/>
        <sz val="12"/>
        <rFont val="Arial"/>
        <family val="2"/>
      </rPr>
      <t>–</t>
    </r>
    <r>
      <rPr>
        <b/>
        <sz val="12"/>
        <rFont val="Arial"/>
        <family val="2"/>
      </rPr>
      <t xml:space="preserve"> ADJUSTMENT TO FEDERAL INCOME TAX RETURN</t>
    </r>
  </si>
  <si>
    <t>Please check the appropriate boxes and indicate the taxpayer's phone number:</t>
  </si>
  <si>
    <t>Select Municipalities</t>
  </si>
  <si>
    <t>Wages</t>
  </si>
  <si>
    <t>Avg</t>
  </si>
  <si>
    <t>Local Property Figures</t>
  </si>
  <si>
    <t>Org Cost</t>
  </si>
  <si>
    <t>Rents x8</t>
  </si>
  <si>
    <t>Combined</t>
  </si>
  <si>
    <t>%</t>
  </si>
  <si>
    <t>Receipts</t>
  </si>
  <si>
    <t>Local Wage Figures</t>
  </si>
  <si>
    <t>Original Cost of All Property</t>
  </si>
  <si>
    <t>All Rents x8</t>
  </si>
  <si>
    <t xml:space="preserve">  Total Property Everywhere</t>
  </si>
  <si>
    <t>Total Wages</t>
  </si>
  <si>
    <t>Total Receipts</t>
  </si>
  <si>
    <t>Updated Tax rates</t>
  </si>
  <si>
    <t>Version 2007.1 Starts Here</t>
  </si>
  <si>
    <t>Fixed "Federal Wages" checkbox error (related cell was protected)</t>
  </si>
  <si>
    <t>Federal Filing</t>
  </si>
  <si>
    <t>1120-A</t>
  </si>
  <si>
    <t>1120-REIT</t>
  </si>
  <si>
    <t>Business Type for Federal Filing Purposes</t>
  </si>
  <si>
    <t>1120S</t>
  </si>
  <si>
    <t>Beginning</t>
  </si>
  <si>
    <t>Ending</t>
  </si>
  <si>
    <t>Or Fiscal Tax Year</t>
  </si>
  <si>
    <t xml:space="preserve">  Error Check</t>
  </si>
  <si>
    <t>Error Message 0</t>
  </si>
  <si>
    <t>Error Message &gt;1</t>
  </si>
  <si>
    <t>Error Selected</t>
  </si>
  <si>
    <t>Link to above</t>
  </si>
  <si>
    <t>to set check</t>
  </si>
  <si>
    <t>on printed</t>
  </si>
  <si>
    <t>form after</t>
  </si>
  <si>
    <t>form</t>
  </si>
  <si>
    <t>locking print</t>
  </si>
  <si>
    <t>Contributions</t>
  </si>
  <si>
    <t>The federal return reports flow-through capital gains and/or losses from a partnership.</t>
  </si>
  <si>
    <t>Web Address: www.ritaohio.com</t>
  </si>
  <si>
    <r>
      <t>Partners' Information</t>
    </r>
    <r>
      <rPr>
        <b/>
        <sz val="7"/>
        <rFont val="Arial"/>
        <family val="2"/>
      </rPr>
      <t xml:space="preserve">                 </t>
    </r>
    <r>
      <rPr>
        <sz val="7"/>
        <rFont val="Arial"/>
        <family val="2"/>
      </rPr>
      <t xml:space="preserve"> (Form 1065 Filers Only)</t>
    </r>
  </si>
  <si>
    <t>Guaranteed Pymts</t>
  </si>
  <si>
    <t>Net Inc before NOL</t>
  </si>
  <si>
    <t>Section 179</t>
  </si>
  <si>
    <t>Claimed</t>
  </si>
  <si>
    <t>Net Sched X Adj</t>
  </si>
  <si>
    <t>Combine Above</t>
  </si>
  <si>
    <t>Inc For Limits</t>
  </si>
  <si>
    <t>Current Year</t>
  </si>
  <si>
    <t>Current Year Only</t>
  </si>
  <si>
    <t>Section 179 excess</t>
  </si>
  <si>
    <t>Total Current Yr 179</t>
  </si>
  <si>
    <t>Max current Yr 179</t>
  </si>
  <si>
    <t>Inc Less Cur Yr 179</t>
  </si>
  <si>
    <t>179 Carryover Prior</t>
  </si>
  <si>
    <t>179 Carryover 2nd Prior</t>
  </si>
  <si>
    <t>179 Carryover 3rd Prior</t>
  </si>
  <si>
    <t>179 Carryover 4th Prior</t>
  </si>
  <si>
    <t>Suppress "Error to Display" until tax year entered</t>
  </si>
  <si>
    <t>Added 1/01/05 rate change from 1.5% to 2% for Boston Heights to "Tax Rates" tab</t>
  </si>
  <si>
    <t>Corrected the start date of Bellevue's tax from 1/01/07 to 01/01/04 on Tax Rate tab</t>
  </si>
  <si>
    <t>Deprec: §1245 &amp; §1250</t>
  </si>
  <si>
    <t>Total gain: §1245 &amp; §1250</t>
  </si>
  <si>
    <t>Smaller of ln 13 or 14</t>
  </si>
  <si>
    <t>Ordinary Inc on §1245 &amp; §1250</t>
  </si>
  <si>
    <t>Income before net operating losses &amp; special deductions</t>
  </si>
  <si>
    <t>Not Applicable</t>
  </si>
  <si>
    <t>Form 1041, Pg 1, Ln 1</t>
  </si>
  <si>
    <t>Form 1041, Pg 1, Ln 2a</t>
  </si>
  <si>
    <t>Worksheet References 1120</t>
  </si>
  <si>
    <t>n/a</t>
  </si>
  <si>
    <t>4797, Part I, Ln 7</t>
  </si>
  <si>
    <t>4562, Part I, Ln 12</t>
  </si>
  <si>
    <t>Worksheet References 1120-A</t>
  </si>
  <si>
    <t>Form 1120, Page 1, Ln 28</t>
  </si>
  <si>
    <t>Form 1120, Page 1, Ln 5</t>
  </si>
  <si>
    <t>Form 1120, Page 1, Ln 4</t>
  </si>
  <si>
    <t>Form 1120, Page 1, Ln 7</t>
  </si>
  <si>
    <t>Form 1120, Pg 1, Ln 19</t>
  </si>
  <si>
    <t>Ownership Percentage</t>
  </si>
  <si>
    <r>
      <t>RITA</t>
    </r>
    <r>
      <rPr>
        <sz val="8"/>
        <rFont val="Arial"/>
        <family val="2"/>
      </rPr>
      <t xml:space="preserve"> Pass-Through Income (Loss)</t>
    </r>
  </si>
  <si>
    <r>
      <t>Federal</t>
    </r>
    <r>
      <rPr>
        <sz val="8"/>
        <rFont val="Arial"/>
        <family val="2"/>
      </rPr>
      <t xml:space="preserve"> Pass-Through Income (Loss)</t>
    </r>
  </si>
  <si>
    <t>Share of RITA Tax Paid</t>
  </si>
  <si>
    <t>Schedule Z</t>
  </si>
  <si>
    <t>Ordinary income/(losses) from pass-thru entities</t>
  </si>
  <si>
    <t>Year not supported</t>
  </si>
  <si>
    <t>Form 1041, Pg 1, Ln 17</t>
  </si>
  <si>
    <t>1065, Sched K, Ln 13d (Q)</t>
  </si>
  <si>
    <t>1065, Sched K, Ln 13d (L)</t>
  </si>
  <si>
    <t>Form 1120-A, Page 1, Ln 24</t>
  </si>
  <si>
    <t>Sched K, Ln 18</t>
  </si>
  <si>
    <t>Grafton</t>
  </si>
  <si>
    <t>Special</t>
  </si>
  <si>
    <t>Part of 1065, Sched A, Ln 5</t>
  </si>
  <si>
    <t>1065, Sched L, Ln 3(b)</t>
  </si>
  <si>
    <t>1065, Sched L, Ln 3(d)</t>
  </si>
  <si>
    <t>1065, Sched L, Ln 9a(a)</t>
  </si>
  <si>
    <t>1065, Sched L, Ln 9a(c)</t>
  </si>
  <si>
    <t>1065, Sched L, Ln 10a(a)</t>
  </si>
  <si>
    <t>Version 2008.2 Starts Here</t>
  </si>
  <si>
    <t>Check to see if IRS has release 1120-REIT. No.  Releasing with tentative references.</t>
  </si>
  <si>
    <t>1065, Sched L, Ln 10a(c)</t>
  </si>
  <si>
    <t>1065, Sched L, Ln 11(b)</t>
  </si>
  <si>
    <t>1065, Sched L, Ln 11(d)</t>
  </si>
  <si>
    <t>Part of 1120, Sched A, Ln 5</t>
  </si>
  <si>
    <t>Part of 1120, Pg 1, Ln 17</t>
  </si>
  <si>
    <r>
      <t>Updated References tab for 2014 (</t>
    </r>
    <r>
      <rPr>
        <sz val="10"/>
        <color indexed="10"/>
        <rFont val="Arial"/>
        <family val="2"/>
      </rPr>
      <t>copy and paste from 2013 and updated formulas in column C - needs review</t>
    </r>
    <r>
      <rPr>
        <sz val="10"/>
        <rFont val="Arial"/>
        <family val="2"/>
      </rPr>
      <t>) - Review Completed</t>
    </r>
  </si>
  <si>
    <t>Tomek/Richard D</t>
  </si>
  <si>
    <t>Removed Catawba 1/1/14 rate change (only credit changed which does not apply to Form 27)</t>
  </si>
  <si>
    <t>Rate changed 10/01/13</t>
  </si>
  <si>
    <t>Rate Changed 7/01/13</t>
  </si>
  <si>
    <t>Rate changed 6/01/13</t>
  </si>
  <si>
    <t>1120, Sched L, Ln 10a(a)</t>
  </si>
  <si>
    <t>1120, Sched L, Ln 10a(c)</t>
  </si>
  <si>
    <t>1120, Sched L, Ln 11a(a)</t>
  </si>
  <si>
    <t>1120, Sched L, Ln 11a(c)</t>
  </si>
  <si>
    <t>1120, Sched L, Ln 12(b)</t>
  </si>
  <si>
    <t>1120, Sched L, Ln 12(d)</t>
  </si>
  <si>
    <t>1120, Sched L, Ln 3(b)</t>
  </si>
  <si>
    <t>Added Overflow 2 and Overflow 3 sheets for in house use only</t>
  </si>
  <si>
    <t>Form W-2 wages limitation.  Enter 50% of line 18</t>
  </si>
  <si>
    <t>Enter the smaller of line 13 or line 19</t>
  </si>
  <si>
    <t>?</t>
  </si>
  <si>
    <t>Updated Cities tab - changes that must be verified in red font</t>
  </si>
  <si>
    <t>Updated Tax Rates tab - added 2010 tax info, changes that must be verified in red font</t>
  </si>
  <si>
    <t>Domestic production activities deduction from cooperatives (box 6 of Form 1099-PATR)</t>
  </si>
  <si>
    <t>Expanded affiliated group allocation</t>
  </si>
  <si>
    <r>
      <t>Domestic production activities deduction.</t>
    </r>
    <r>
      <rPr>
        <sz val="10"/>
        <rFont val="Arial"/>
        <family val="2"/>
      </rPr>
      <t xml:space="preserve"> Combine lines 20 through 22.</t>
    </r>
  </si>
  <si>
    <t>Federal taxable income before net operating losses and special deductions</t>
  </si>
  <si>
    <t>Federal taxable income calculated as if a C-Corporation per ORC 718.01(A)(1)(g)</t>
  </si>
  <si>
    <t>Federal Taxable Income for Income Limitiation</t>
  </si>
  <si>
    <t>Substitute Form for Use by Non-C-Corporations</t>
  </si>
  <si>
    <t>RITA Substitute Form</t>
  </si>
  <si>
    <t>Domestic Prodution Activities Deduction (attach 8903)</t>
  </si>
  <si>
    <t>Sched K, Ln 12a</t>
  </si>
  <si>
    <t>Various</t>
  </si>
  <si>
    <t>Sched D, Part I, Ln 1</t>
  </si>
  <si>
    <t>Sched D, Part II, Ln 7</t>
  </si>
  <si>
    <t>Sched D, Part II, Ln 6</t>
  </si>
  <si>
    <t>Form 1041, Pg 1, Ln 13</t>
  </si>
  <si>
    <t>Owner's Life Ins</t>
  </si>
  <si>
    <t>Worksheet References 1120-REIT</t>
  </si>
  <si>
    <t>Form 1120-REIT, Pg 1, Ln 20</t>
  </si>
  <si>
    <t>Form 1120-REIT, Pg 1, Ln 2</t>
  </si>
  <si>
    <t>Form 1120-REIT, Pg 1, Ln 1</t>
  </si>
  <si>
    <t>Part of Form 1041, Pg 1, Ln 5</t>
  </si>
  <si>
    <t>Worksheet References Other</t>
  </si>
  <si>
    <t>No guidance available</t>
  </si>
  <si>
    <t>C.</t>
  </si>
  <si>
    <t>Rate changed 7/01/13</t>
  </si>
  <si>
    <t>Camden</t>
  </si>
  <si>
    <t>Updated Cities tab- review completed</t>
  </si>
  <si>
    <t>The business is reporting a profit to a municipality whose rate changed during the business's tax year.</t>
  </si>
  <si>
    <t>Updated instructions tab for tax rate changes (removed blended rate language)</t>
  </si>
  <si>
    <t>The business is a partnership with more than five (5) partners.</t>
  </si>
  <si>
    <t>The business is a non-C corporation that paid a single employee in excess of $1 million in compensation.</t>
  </si>
  <si>
    <r>
      <t xml:space="preserve">The business is claiming a </t>
    </r>
    <r>
      <rPr>
        <b/>
        <sz val="8"/>
        <rFont val="Arial"/>
        <family val="2"/>
      </rPr>
      <t>municipal</t>
    </r>
    <r>
      <rPr>
        <sz val="8"/>
        <rFont val="Arial"/>
        <family val="2"/>
      </rPr>
      <t xml:space="preserve"> net operating loss generated more than five (5) tax years ago.</t>
    </r>
  </si>
  <si>
    <t>Error Message</t>
  </si>
  <si>
    <t>Start Dt 1</t>
  </si>
  <si>
    <t>Start Dt 2</t>
  </si>
  <si>
    <t>Start Dt 3</t>
  </si>
  <si>
    <t>Start Dt 4</t>
  </si>
  <si>
    <t>Start Dt 5</t>
  </si>
  <si>
    <t>Start Dt 6</t>
  </si>
  <si>
    <t>Start Dt 7</t>
  </si>
  <si>
    <t>Start Dt 8</t>
  </si>
  <si>
    <t>Start Dt 9</t>
  </si>
  <si>
    <t>Start Dt 10</t>
  </si>
  <si>
    <t>Fiscal Year</t>
  </si>
  <si>
    <t>Begin</t>
  </si>
  <si>
    <t>Error Msg</t>
  </si>
  <si>
    <t>Days</t>
  </si>
  <si>
    <t>Cr Limit</t>
  </si>
  <si>
    <t>Start Rate Info</t>
  </si>
  <si>
    <t>End Rate Info</t>
  </si>
  <si>
    <t>Rate #</t>
  </si>
  <si>
    <t>Cr Limit 1</t>
  </si>
  <si>
    <t>Cr Limit 2</t>
  </si>
  <si>
    <t>Cr Limit 3</t>
  </si>
  <si>
    <t>Cr Limit 4</t>
  </si>
  <si>
    <t>Cr Limit 5</t>
  </si>
  <si>
    <t>Cr Limit 6</t>
  </si>
  <si>
    <t>Cr Limit 7</t>
  </si>
  <si>
    <t>Cr Limit 8</t>
  </si>
  <si>
    <t>Cr Limit 9</t>
  </si>
  <si>
    <t>Cr Limit 10</t>
  </si>
  <si>
    <t>Credit 1</t>
  </si>
  <si>
    <t>Credit 2</t>
  </si>
  <si>
    <t>Credit 3</t>
  </si>
  <si>
    <t>Credit 4</t>
  </si>
  <si>
    <t>Credit 5</t>
  </si>
  <si>
    <t>Credit 6</t>
  </si>
  <si>
    <t>Consolidated</t>
  </si>
  <si>
    <t>Confirmed</t>
  </si>
  <si>
    <t>Arlington Heights</t>
  </si>
  <si>
    <t>Carryover</t>
  </si>
  <si>
    <t>Ashville</t>
  </si>
  <si>
    <t>Aurora</t>
  </si>
  <si>
    <t>Avon</t>
  </si>
  <si>
    <t>Avon Lake</t>
  </si>
  <si>
    <t>Bay Village</t>
  </si>
  <si>
    <t>Beachwood</t>
  </si>
  <si>
    <t>Bedford Heights</t>
  </si>
  <si>
    <t>Bentleyville</t>
  </si>
  <si>
    <t>Berea</t>
  </si>
  <si>
    <t>Enter the smaller of line 16 or 17</t>
  </si>
  <si>
    <t>Bexley</t>
  </si>
  <si>
    <t>Boston Heights</t>
  </si>
  <si>
    <t>Brecksville</t>
  </si>
  <si>
    <t>Broadview Heights</t>
  </si>
  <si>
    <t>Brooklyn Heights</t>
  </si>
  <si>
    <t>Campbell</t>
  </si>
  <si>
    <t>Cardington</t>
  </si>
  <si>
    <t>Cecil</t>
  </si>
  <si>
    <t>Cedarville</t>
  </si>
  <si>
    <t>Centerburg</t>
  </si>
  <si>
    <t>Chagrin Falls</t>
  </si>
  <si>
    <t>Circleville</t>
  </si>
  <si>
    <t>Corwin</t>
  </si>
  <si>
    <t>Cuyahoga Heights</t>
  </si>
  <si>
    <t>East Cleveland</t>
  </si>
  <si>
    <t>East Palestine</t>
  </si>
  <si>
    <t>Elyria</t>
  </si>
  <si>
    <t>Fairport Harbor</t>
  </si>
  <si>
    <t>Fairview Park</t>
  </si>
  <si>
    <t>Fort Jennings</t>
  </si>
  <si>
    <t>Fremont</t>
  </si>
  <si>
    <t>Galena</t>
  </si>
  <si>
    <t>Galion</t>
  </si>
  <si>
    <t>Garfield Heights</t>
  </si>
  <si>
    <t>Girard</t>
  </si>
  <si>
    <t>Glenwillow</t>
  </si>
  <si>
    <t>Grandview Heights</t>
  </si>
  <si>
    <t>Grove City</t>
  </si>
  <si>
    <t>Haskins</t>
  </si>
  <si>
    <t>Highland Heights</t>
  </si>
  <si>
    <t>Hudson</t>
  </si>
  <si>
    <t>Independence</t>
  </si>
  <si>
    <t>Jewett</t>
  </si>
  <si>
    <t>Kirtland</t>
  </si>
  <si>
    <t>Lagrange</t>
  </si>
  <si>
    <t>Lakemore</t>
  </si>
  <si>
    <t>Lithopolis</t>
  </si>
  <si>
    <t>Lockland</t>
  </si>
  <si>
    <t>Lyndhurst</t>
  </si>
  <si>
    <t>Macedonia</t>
  </si>
  <si>
    <t>Maineville</t>
  </si>
  <si>
    <t>Maple Heights</t>
  </si>
  <si>
    <t>Martins Ferry</t>
  </si>
  <si>
    <t>Mayfield Heights</t>
  </si>
  <si>
    <t>Mayfield Village</t>
  </si>
  <si>
    <t>Mechanicsburg</t>
  </si>
  <si>
    <t>Middleburg Heights</t>
  </si>
  <si>
    <t>Milan</t>
  </si>
  <si>
    <t xml:space="preserve">Milford </t>
  </si>
  <si>
    <t>Milford Center</t>
  </si>
  <si>
    <t>Minerva Park</t>
  </si>
  <si>
    <t>Mogadore</t>
  </si>
  <si>
    <t>Corrected Wage warning trigger on "Form 8903 (pre 2011)" tab</t>
  </si>
  <si>
    <t>Removed Wage warning on "Form 8903" since not enough room to display</t>
  </si>
  <si>
    <t>Updated Data tab cells that contain the values for the "Print Return", Pg 1, Ln1 federal form references (see #158 below)</t>
  </si>
  <si>
    <t>Replaced link to Data tab with concatenated value lined to the References tab for "Print Return", Pg 1, Ln1 federal form references so in the future the "Print Return" cell will always be automatically undated when the References tab is updated</t>
  </si>
  <si>
    <t>REGIONAL INCOME TAX AGENCY</t>
  </si>
  <si>
    <t>RITA Net Profits Tax Return</t>
  </si>
  <si>
    <r>
      <t xml:space="preserve">Form
</t>
    </r>
    <r>
      <rPr>
        <b/>
        <sz val="28"/>
        <rFont val="Arial"/>
        <family val="2"/>
      </rPr>
      <t>27</t>
    </r>
  </si>
  <si>
    <t>Contact us toll free at:</t>
  </si>
  <si>
    <t>Cleveland</t>
  </si>
  <si>
    <t>800.860.7482</t>
  </si>
  <si>
    <t>Columbus</t>
  </si>
  <si>
    <t>TDD</t>
  </si>
  <si>
    <t>Fax</t>
  </si>
  <si>
    <t>866.721.7482</t>
  </si>
  <si>
    <t>866.750.7482</t>
  </si>
  <si>
    <t>440.526.5332</t>
  </si>
  <si>
    <t>440.922.3536</t>
  </si>
  <si>
    <t>MAKE CHECKS PAYABLE TO RITA</t>
  </si>
  <si>
    <t>PO BOX 89475</t>
  </si>
  <si>
    <t>CLEVELAND  OH  44101-6475</t>
  </si>
  <si>
    <t>May RITA discuss this return with the preparer shown above?</t>
  </si>
  <si>
    <t>PREPARER'S ADDRESS</t>
  </si>
  <si>
    <t>FIRM NAME</t>
  </si>
  <si>
    <t>Page
2</t>
  </si>
  <si>
    <r>
      <t>TOTAL AMOUNT DUE</t>
    </r>
    <r>
      <rPr>
        <sz val="9"/>
        <rFont val="Arial"/>
        <family val="2"/>
      </rPr>
      <t xml:space="preserve"> (COMBINE LINES 7A &amp; 8D)</t>
    </r>
  </si>
  <si>
    <r>
      <t>BALANCE DUE</t>
    </r>
    <r>
      <rPr>
        <sz val="9"/>
        <rFont val="Arial"/>
        <family val="2"/>
      </rPr>
      <t xml:space="preserve"> (Line 5 less Line 6C)</t>
    </r>
  </si>
  <si>
    <r>
      <t>MUNICIPAL TAX DUE</t>
    </r>
    <r>
      <rPr>
        <sz val="9"/>
        <rFont val="Arial"/>
        <family val="2"/>
      </rPr>
      <t xml:space="preserve"> (See Instructions)</t>
    </r>
  </si>
  <si>
    <t>ITEMS NOT TAXABLE (From Page 3, Schedule X, Line Q)</t>
  </si>
  <si>
    <t>ITEMS NOT DEDUCTIBLE (From Page 3, Schedule X, Line G)</t>
  </si>
  <si>
    <t>Made cosmetic changes to the "Print Return" tab so form looks closer to current version of Form 27</t>
  </si>
  <si>
    <r>
      <t xml:space="preserve">The federal return with applicable schedules and 1099's </t>
    </r>
    <r>
      <rPr>
        <b/>
        <sz val="8"/>
        <rFont val="Arial"/>
        <family val="2"/>
      </rPr>
      <t>MUST</t>
    </r>
    <r>
      <rPr>
        <sz val="8"/>
        <rFont val="Arial"/>
        <family val="2"/>
      </rPr>
      <t xml:space="preserve"> be attached to be considered a complete tax return.</t>
    </r>
  </si>
  <si>
    <t>Fixed "Div/0" error on Sched Y, Part III that appeared when the Overflow sheet was used</t>
  </si>
  <si>
    <t>Wellsville</t>
  </si>
  <si>
    <t>West Elkton</t>
  </si>
  <si>
    <t>Westlake</t>
  </si>
  <si>
    <t>Weston</t>
  </si>
  <si>
    <t>Willowick</t>
  </si>
  <si>
    <t>Sched Y Error Prevention</t>
  </si>
  <si>
    <t>Everywhere Salaries</t>
  </si>
  <si>
    <t xml:space="preserve">  City 1 Local</t>
  </si>
  <si>
    <t xml:space="preserve">  City 2 Local</t>
  </si>
  <si>
    <t xml:space="preserve">  City 3 Local</t>
  </si>
  <si>
    <t xml:space="preserve">  City 4 Local</t>
  </si>
  <si>
    <t xml:space="preserve">  City 5 Local</t>
  </si>
  <si>
    <t>Everywhere Receipts</t>
  </si>
  <si>
    <t>Add Domestic Production Activities Deduction to error message if $ shown but return type is 1120</t>
  </si>
  <si>
    <t>Correct calculation of estimate due (Data!C74) to give credit for credit carryovers.</t>
  </si>
  <si>
    <t>Sched D, Part I, Ln 7</t>
  </si>
  <si>
    <t>Sched D, Part II, Lns 8-10</t>
  </si>
  <si>
    <t>1120S, Sched K, Ln 11</t>
  </si>
  <si>
    <t>1120S, Sched K, Ln 12a</t>
  </si>
  <si>
    <t>Rate changed 2x in 2011</t>
  </si>
  <si>
    <t>Tomek &amp; Richard D</t>
  </si>
  <si>
    <r>
      <t>Updated References tab for 2013 (</t>
    </r>
    <r>
      <rPr>
        <sz val="10"/>
        <color indexed="10"/>
        <rFont val="Arial"/>
        <family val="2"/>
      </rPr>
      <t>copy and paste from 2012 - needs review</t>
    </r>
    <r>
      <rPr>
        <sz val="10"/>
        <rFont val="Arial"/>
        <family val="2"/>
      </rPr>
      <t>) - Review completed</t>
    </r>
  </si>
  <si>
    <t>Jerry City</t>
  </si>
  <si>
    <t>Painesville</t>
  </si>
  <si>
    <t>West Mansfield</t>
  </si>
  <si>
    <t>Reviewed Cities tab and adjusted as needed</t>
  </si>
  <si>
    <t>Made corrections to Tax Rate table for some of the new members</t>
  </si>
  <si>
    <t>Estimates Due NOW after Credit</t>
  </si>
  <si>
    <t>Calc's number of estimates due &amp; $ amt due AFTER CREDIT</t>
  </si>
  <si>
    <t>Credit Available</t>
  </si>
  <si>
    <t>Total Estimates Due before Credit</t>
  </si>
  <si>
    <t>Warning: Municipality data entered in columns with no RITA Municipality indicated.</t>
  </si>
  <si>
    <t>Allocation Table Error Msg</t>
  </si>
  <si>
    <t>Column 1 Error</t>
  </si>
  <si>
    <t>Column 2 Error</t>
  </si>
  <si>
    <t>Column 3 Error</t>
  </si>
  <si>
    <t>Column 4 Error</t>
  </si>
  <si>
    <t>Column 5 Error</t>
  </si>
  <si>
    <t>A one (1) indicates a column error.  A zero (0) indicates things are okay</t>
  </si>
  <si>
    <t>Warning: One or more municipal allocation percentages are greater than 100%.</t>
  </si>
  <si>
    <t>Error 1</t>
  </si>
  <si>
    <t>Version 2011 - draft Starts Here</t>
  </si>
  <si>
    <t>Updated References tab for 2011 (copy and paste from 2010 - needs review)</t>
  </si>
  <si>
    <t>Baltimore</t>
  </si>
  <si>
    <t>Belpre</t>
  </si>
  <si>
    <t>Bremen</t>
  </si>
  <si>
    <t>Carroll</t>
  </si>
  <si>
    <t>Cleveland Heights</t>
  </si>
  <si>
    <t>Greenhills</t>
  </si>
  <si>
    <t>Harrison</t>
  </si>
  <si>
    <t>Moscow</t>
  </si>
  <si>
    <t>Newcomerstown</t>
  </si>
  <si>
    <t>New Bavaria</t>
  </si>
  <si>
    <t>Sugar Grove</t>
  </si>
  <si>
    <t>Williamsburg</t>
  </si>
  <si>
    <t>Changed blended rate for Antwerp/2006 to final 2006 rate (1%).</t>
  </si>
  <si>
    <r>
      <t xml:space="preserve">Unrecaptured </t>
    </r>
    <r>
      <rPr>
        <b/>
        <sz val="8"/>
        <rFont val="Arial"/>
        <family val="2"/>
      </rPr>
      <t>§</t>
    </r>
    <r>
      <rPr>
        <b/>
        <sz val="8"/>
        <rFont val="Arial"/>
        <family val="2"/>
      </rPr>
      <t>1231 losses</t>
    </r>
    <r>
      <rPr>
        <sz val="8"/>
        <rFont val="Arial"/>
        <family val="2"/>
      </rPr>
      <t xml:space="preserve"> and the</t>
    </r>
    <r>
      <rPr>
        <b/>
        <sz val="8"/>
        <rFont val="Arial"/>
        <family val="2"/>
      </rPr>
      <t xml:space="preserve"> federal net operating loss </t>
    </r>
    <r>
      <rPr>
        <sz val="8"/>
        <rFont val="Arial"/>
        <family val="2"/>
      </rPr>
      <t xml:space="preserve">are calculated based on your </t>
    </r>
    <r>
      <rPr>
        <i/>
        <sz val="8"/>
        <rFont val="Arial"/>
        <family val="2"/>
      </rPr>
      <t>federal taxable income</t>
    </r>
    <r>
      <rPr>
        <sz val="8"/>
        <rFont val="Arial"/>
        <family val="2"/>
      </rPr>
      <t xml:space="preserve">.  The §1231 losses are used to determine the allowable capital losses and the </t>
    </r>
    <r>
      <rPr>
        <b/>
        <sz val="8"/>
        <rFont val="Arial"/>
        <family val="2"/>
      </rPr>
      <t>federal</t>
    </r>
    <r>
      <rPr>
        <sz val="8"/>
        <rFont val="Arial"/>
        <family val="2"/>
      </rPr>
      <t xml:space="preserve"> net operating loss is used in determining the allowable charitable contribution deduction.</t>
    </r>
  </si>
  <si>
    <r>
      <t>Federal</t>
    </r>
    <r>
      <rPr>
        <sz val="8.5"/>
        <rFont val="Arial"/>
        <family val="2"/>
      </rPr>
      <t xml:space="preserve"> net operating losses</t>
    </r>
  </si>
  <si>
    <t>TAXPAYERS THAT ARE NOT C CORPORATIONS ONLY— AMOUNTS PAID OR ACCRUED TO QUALIFIED SELF-EMPLOYED RETIREMENT, HEALTH &amp; LIFE INSURANCE PLANS FOR OWNERS OR OWNER-EMPLOYEES</t>
  </si>
  <si>
    <t>Inventories (beginning)</t>
  </si>
  <si>
    <t>Inventories (ending)</t>
  </si>
  <si>
    <t>Corrected Corwin's 2004 tax rate to 1.5% on Cities Tab and Tax Rate Tab</t>
  </si>
  <si>
    <t>Corrected date Grandview Hts rate changed from 2.5% to 2.25% on Tax Rate Tab</t>
  </si>
  <si>
    <t>Corrected start date of Killbuck's tax on Cities tab and Tax Rate tab (1/01/10)</t>
  </si>
  <si>
    <t>Corrected 2004 tax rate for Macedonia Northfield Center Twp JEDD (2%)</t>
  </si>
  <si>
    <t>Corrected start date of Melrose's tax on Cities tab and Tax Rate tab (1/01/10)</t>
  </si>
  <si>
    <t>Corrected start date of New Franklin tax on Cities tab and Tax Rate tab (9/01/05)</t>
  </si>
  <si>
    <t>Corrected start date of New Richmond tax on Cities tab and Tax Rate tab (1/01/10)</t>
  </si>
  <si>
    <t>Corrected formula that pulls correct tax rate based on the year for New Richmond on Cities tab</t>
  </si>
  <si>
    <t>Corrected start date of Olmsted JEDD on Cities tab &amp; Tax Rate tab (1/01/08)</t>
  </si>
  <si>
    <t>Corrected start date of Piketon tax on Tax Rate tab (09/01/05)</t>
  </si>
  <si>
    <t>Corrected start date of Reynoldsburg E-Zone tax on Cities tab &amp; Tax Rate tab (1/01/05)</t>
  </si>
  <si>
    <t>Corrected Sabina tax rate info on Cities tab &amp; Tax Rate tab (1/01/04, 5/27/04, &amp; 1/01/05)</t>
  </si>
  <si>
    <t>Repealed</t>
  </si>
  <si>
    <t>Version 2013.2 Starts Here</t>
  </si>
  <si>
    <t>Changed 2014 tax rate for Jeromesville (tax repealed)</t>
  </si>
  <si>
    <t>NOL supporting schedule on Print Schedules tab now correctly calc's available NOL for 1 yr cities</t>
  </si>
  <si>
    <t>Updated "Tax Year Not Supported" message on Complete This Page to trap #N/A error when the References sheet tries to return values for future year. Also since References were updated to include 2014 prior to us having 2014 tax rates, tried to detect and warn about that too.</t>
  </si>
  <si>
    <t>Added warning to Complete This Page when fiscal year is greater than 12mo+10 days. The +10 days is to account for 365 day years and 360 day years and other allowed wierdness.</t>
  </si>
  <si>
    <t>Updated conditional formating on Print Return tab so that when a municipality is selected by the taxpayer for a period where that municipalities tax rate was 0%, the 0% tax rate will appear (i.e. selecting a city before its tax takes effect).</t>
  </si>
  <si>
    <t>Est Rate</t>
  </si>
  <si>
    <t>Added Estimate Tax Rate column to Cities tab</t>
  </si>
  <si>
    <t>Buildings &amp; other depreciable assets (beginning)</t>
  </si>
  <si>
    <t>Buildings &amp; other depreciable assets (ending)</t>
  </si>
  <si>
    <t>Corrected row height on Print Schedules tab for second table in Part 1 so both lines of column headers are visible.</t>
  </si>
  <si>
    <t>Short years with tax rate changes not always calculting tax due correctly</t>
  </si>
  <si>
    <t>Removed "withholding tax only" JEDDs: Beachwood East JEDD, Beachwood West JEDD, Milford JEDD, Milford JEDD II, Youngstown Girard JEDZ. Left net profit JEDDS.</t>
  </si>
  <si>
    <t>AMOUNT ALLOCABLE TO RITA</t>
  </si>
  <si>
    <t>SCHEDULE B - DISTRIBUTION OF TAX WITHHIN RITA MUNICIPALITIES</t>
  </si>
  <si>
    <t>May RITA discuss this return with your preparer? -&gt;</t>
  </si>
  <si>
    <t>Added question to Complete This Page to make "Discuss w/ Preparer" checkbox active.</t>
  </si>
  <si>
    <t>Locked all pages with password and gave approval to post on website</t>
  </si>
  <si>
    <t>Changed formula on Complete This Page cells D158-H158 to calc estimated based on current year's income times estimate year tax rates rather than just pull current year's tax due.</t>
  </si>
  <si>
    <t>Added error warnings for "Final Questions" when lack of alloc info causes errors</t>
  </si>
  <si>
    <t>Added Sched Y-1 wage reconciliation to "Print Return"</t>
  </si>
  <si>
    <t>Wintersville</t>
  </si>
  <si>
    <t>Woodmere</t>
  </si>
  <si>
    <t>Woodstock</t>
  </si>
  <si>
    <t>Worthington</t>
  </si>
  <si>
    <t>Yellow Springs</t>
  </si>
  <si>
    <t>Youngstown</t>
  </si>
  <si>
    <t>Credit Carryover</t>
  </si>
  <si>
    <t>Estimated Tax Pymts</t>
  </si>
  <si>
    <t>NOL Yrs</t>
  </si>
  <si>
    <t>Worksheet References Used</t>
  </si>
  <si>
    <t>Corrected "#VALUE" error on Schedule Y wage &amp; sales factors</t>
  </si>
  <si>
    <t>Warning Formulas are here (really, they are)</t>
  </si>
  <si>
    <t>Part II</t>
  </si>
  <si>
    <t>Adjustments Required of Non-C Corporations Under ORC §718.01(A)(1)(g)</t>
  </si>
  <si>
    <t>Income from Federal Return</t>
  </si>
  <si>
    <t>Tax Rate 1</t>
  </si>
  <si>
    <t>Start</t>
  </si>
  <si>
    <t>Rate</t>
  </si>
  <si>
    <t>Tax Rate 2</t>
  </si>
  <si>
    <t>Tax Rate 3</t>
  </si>
  <si>
    <t>Tax Rate 4</t>
  </si>
  <si>
    <t>Tax Rate 5</t>
  </si>
  <si>
    <t>Tax Rate 6</t>
  </si>
  <si>
    <t>Tax Rate 7</t>
  </si>
  <si>
    <t>Tax Rate 8</t>
  </si>
  <si>
    <t>Tax Rate 9</t>
  </si>
  <si>
    <t>Tax Rate 10</t>
  </si>
  <si>
    <t>Amount paid or accrued to an owner or owner-employee qualified self-employed retirement plans</t>
  </si>
  <si>
    <t>Amount paid or accrued for owner or owner-employee health insurance</t>
  </si>
  <si>
    <t>Amount paid or accrued for owner or owner-employee life insurance</t>
  </si>
  <si>
    <t>From Line 1 above</t>
  </si>
  <si>
    <t>From Line 11 above</t>
  </si>
  <si>
    <t>From Line 12 above</t>
  </si>
  <si>
    <t>(a)</t>
  </si>
  <si>
    <t>(b)</t>
  </si>
  <si>
    <t>Oil-related production activities</t>
  </si>
  <si>
    <t>All activities</t>
  </si>
  <si>
    <t>10a</t>
  </si>
  <si>
    <t>b</t>
  </si>
  <si>
    <t>10b</t>
  </si>
  <si>
    <t>If you are using the small business simplified overall method, enter the amount of cost of goods sold and other deductions or losses you ratably apportion to DPGR. All others, skip line 4</t>
  </si>
  <si>
    <t>Qualified production activities from estates, trusts, and certain partnerships and S corporations</t>
  </si>
  <si>
    <t>Add lines 6 and 7. Estates &amp; trusts go to line 9, all others skip line 9 and go to line 10</t>
  </si>
  <si>
    <r>
      <t>Oil-related qualified production activities income.</t>
    </r>
    <r>
      <rPr>
        <sz val="9"/>
        <rFont val="Arial"/>
        <family val="2"/>
      </rPr>
      <t xml:space="preserve"> Estates &amp; trusts subtract line 9, column (a), from line 8, column (a), all others enter the amount from line 8, column (a).  If zero or less, enter -0- here.</t>
    </r>
  </si>
  <si>
    <r>
      <t>Qualified production activities income.</t>
    </r>
    <r>
      <rPr>
        <sz val="9"/>
        <rFont val="Arial"/>
        <family val="2"/>
      </rPr>
      <t xml:space="preserve"> Estates &amp; trusts subtract line 9, column (b), from line 8, column (b), all others enter the amount from line 8, column (b).  If zero or less, enter -0- here, skip lines 1 through 21, and enter -0- on line 22.</t>
    </r>
  </si>
  <si>
    <t>Enter the smaller of line 10b or 11.  If zero or less, enter -0- here, skip lines 13 trhough 21,and enter -0- on line 22.</t>
  </si>
  <si>
    <t>Enter the smaller of line 10a or line 12</t>
  </si>
  <si>
    <t>14a</t>
  </si>
  <si>
    <t>Reduction for oil-related qualified production activities income.  Multiply line 14a by 3%</t>
  </si>
  <si>
    <t>Subtract line 14b from line 13</t>
  </si>
  <si>
    <t>14b</t>
  </si>
  <si>
    <t>Form W-2 wages from estates, trusts, and certain partnerships and S corporations</t>
  </si>
  <si>
    <t>Add lines 16 and 17.  Estates &amp; trusts go to line 19, all others, skip line 19 and go to line 20</t>
  </si>
  <si>
    <t>Estates &amp; trusts, subtract line 19 from line 18, all others, enter the amount from line 18</t>
  </si>
  <si>
    <t>Enter the smaller of line 15 or line 21</t>
  </si>
  <si>
    <t>Add lines 14 and 15.  Estates &amp; trusts go to line 17, all other skip line 17 &amp; go to line 18</t>
  </si>
  <si>
    <r>
      <t>Domestic production activities deduction.</t>
    </r>
    <r>
      <rPr>
        <sz val="9"/>
        <rFont val="Arial"/>
        <family val="2"/>
      </rPr>
      <t xml:space="preserve"> Combine lines 20 through 24.</t>
    </r>
  </si>
  <si>
    <r>
      <t>Income limitation.</t>
    </r>
    <r>
      <rPr>
        <sz val="10"/>
        <rFont val="Arial"/>
        <family val="2"/>
      </rPr>
      <t xml:space="preserve"> Enter taxable income before DPAD from line 32 below</t>
    </r>
  </si>
  <si>
    <r>
      <t>Note. Do not</t>
    </r>
    <r>
      <rPr>
        <sz val="9"/>
        <rFont val="Arial"/>
        <family val="2"/>
      </rPr>
      <t xml:space="preserve"> complete column (a), unless you have oil-related production activities.  Enter amounts for all activites in column (b), including oil-related production activities.</t>
    </r>
  </si>
  <si>
    <t>Allocable cost of good sold.  If you are using the small business simplified overall method, skip lines 2 and 3.</t>
  </si>
  <si>
    <t>Form W-2 wages limitation.  Enter 50% of line 20</t>
  </si>
  <si>
    <r>
      <t>Note:</t>
    </r>
    <r>
      <rPr>
        <i/>
        <sz val="8"/>
        <rFont val="Arial"/>
        <family val="2"/>
      </rPr>
      <t xml:space="preserve"> Line 26 does not included a deduction for guaranteed payments and thus satisfies the requirements of ORC §718.01(A)(1)(g)(i).</t>
    </r>
  </si>
  <si>
    <t>Added pro-forma 8903 for 2011 (major form changes)</t>
  </si>
  <si>
    <t>Bloomingdale</t>
  </si>
  <si>
    <t>Clinton</t>
  </si>
  <si>
    <t>Continental</t>
  </si>
  <si>
    <t>Harrod</t>
  </si>
  <si>
    <t>Lakeline</t>
  </si>
  <si>
    <t>Valley View (Cuyahoga Co)</t>
  </si>
  <si>
    <t>Valleyview (Franklin Co)</t>
  </si>
  <si>
    <t>Hid "Tax Partership as Entity" and "Tax S-Corp as Entity" columns on Cities tab (not used or updated)</t>
  </si>
  <si>
    <t>Added Bloomingdale, Caldwell, Clinton, Continental, Harrod, Lakeline, &amp; Valleyview to city lists on Tax Rates and Cities tabs</t>
  </si>
  <si>
    <t>Added "(Cuyahoga Co)" and "(Franklin Co)" to the two Valley Views</t>
  </si>
  <si>
    <t>From Line 13 above</t>
  </si>
  <si>
    <t>Add Lines 18 through 22</t>
  </si>
  <si>
    <t>Federal Income Adjusted Per ORC §718.01(A)(1)(g)</t>
  </si>
  <si>
    <t>Combine Lns 3, 4 &amp; 5 above</t>
  </si>
  <si>
    <t>Add an amount equal to 5% of intangible income not generated by the sale, exchange or other disposition of intangible property</t>
  </si>
  <si>
    <t>Multiply Line 24 by 0.05</t>
  </si>
  <si>
    <t>Part III</t>
  </si>
  <si>
    <t>Adjustments Required of Taxpayers Who Are Not Individuals Under ORC §718.01(A)(1)</t>
  </si>
  <si>
    <t>Add any federal losses allowed on the sale, exchange or other disposition of §1221 or §1231 property</t>
  </si>
  <si>
    <t>Combine the Losses Shown on Lines 6, 7 &amp; 8 above</t>
  </si>
  <si>
    <t>Losses Under 718.01(A)(1)(c): 1221 &amp; 1231</t>
  </si>
  <si>
    <t>If less than zero, put here</t>
  </si>
  <si>
    <t>Deduct income &amp; gain directly related to the sale, exchange or other disposition of §1221 or §1231 property, but exclude §1245 and §1250 income and gains</t>
  </si>
  <si>
    <t xml:space="preserve">Deduct intangible income included in federal income that is not related to the sale, exchange or disposition of intangible property </t>
  </si>
  <si>
    <t>Combine the gains shown on Lines 6, 7 &amp; 8 above, less…</t>
  </si>
  <si>
    <t>8A</t>
  </si>
  <si>
    <t>8B</t>
  </si>
  <si>
    <t>8C</t>
  </si>
  <si>
    <t>Credit (if any) From Prior Year (Page 1, Line 7B)</t>
  </si>
  <si>
    <t>Subtract Line 8B from Line 8A</t>
  </si>
  <si>
    <t>Overpymt Refund?</t>
  </si>
  <si>
    <t>Overpymt Credit?</t>
  </si>
  <si>
    <t>8D</t>
  </si>
  <si>
    <t>D.</t>
  </si>
  <si>
    <t>Amount paid (not less than 1/4 of estimated tax)</t>
  </si>
  <si>
    <t>SIGNATURE OF OFFICER OR PARTNER</t>
  </si>
  <si>
    <t>TITLE</t>
  </si>
  <si>
    <t>DATE</t>
  </si>
  <si>
    <t>PREPARER'S SIGNATURE</t>
  </si>
  <si>
    <t>PREPARER'S PHONE</t>
  </si>
  <si>
    <t>ITEMS NOT DEDUCTIBLE</t>
  </si>
  <si>
    <t>LOSSES DIRECTLY RELATED TO THE SALE, EXCHANGE, OR OTHER DISPOSITION OF AN ASSET DESCRIBED IN §1221 OR §1231 OF THE INTERNAL REVENUE CODE</t>
  </si>
  <si>
    <t>B</t>
  </si>
  <si>
    <t>C</t>
  </si>
  <si>
    <t>Hook-up all "inactivation" reasons</t>
  </si>
  <si>
    <t>D</t>
  </si>
  <si>
    <t>E.</t>
  </si>
  <si>
    <t>OTHER:</t>
  </si>
  <si>
    <t>E</t>
  </si>
  <si>
    <t>F.</t>
  </si>
  <si>
    <t>Rossford</t>
  </si>
  <si>
    <t>Johnstown</t>
  </si>
  <si>
    <t>Added the cities of Johnstown, Manchester, Rossford, Swanton &amp; Tremont</t>
  </si>
  <si>
    <t>F</t>
  </si>
  <si>
    <t xml:space="preserve"> Part of 1120-REIT, Pg 1, Ln 7</t>
  </si>
  <si>
    <t>Part of 1120-REIT, Pg 1, Ln 18</t>
  </si>
  <si>
    <t>●</t>
  </si>
  <si>
    <r>
      <t xml:space="preserve">REGULATED INVESTMENT COMPANIES ONLY— </t>
    </r>
    <r>
      <rPr>
        <sz val="7"/>
        <rFont val="Arial"/>
        <family val="2"/>
      </rPr>
      <t>(See Instructions)</t>
    </r>
  </si>
  <si>
    <t>G.</t>
  </si>
  <si>
    <t>Corrected formula is cell D5 on Cities tab that was causing wrong 2010 Tax Rate for Adelphia</t>
  </si>
  <si>
    <t>Modified cells B17 and H17 on Form 8903 tab per Richard's instructions regarding 2010 tax rules</t>
  </si>
  <si>
    <t>Updated version number on Complete This Page tab v 2010.3</t>
  </si>
  <si>
    <r>
      <t xml:space="preserve">TOTAL ADDITIONS </t>
    </r>
    <r>
      <rPr>
        <sz val="7"/>
        <rFont val="Arial"/>
        <family val="2"/>
      </rPr>
      <t>(Add lines A through F.  Enter here and on Form 27, Page 1, Line 2A)</t>
    </r>
  </si>
  <si>
    <t>G</t>
  </si>
  <si>
    <t>ITEMS NOT TAXABLE</t>
  </si>
  <si>
    <t>N.</t>
  </si>
  <si>
    <t>N</t>
  </si>
  <si>
    <r>
      <t xml:space="preserve">INCOME AND GAINS DIRECTLY RELATED TO THE SALE, EXCHANGE OR OTHER DISPOSITION OF §1221 OR §1231 PROPERTY, BUT EXCLUDING §1245 AND §1250 INCOME AND GAINS </t>
    </r>
    <r>
      <rPr>
        <sz val="7"/>
        <rFont val="Arial"/>
        <family val="2"/>
      </rPr>
      <t xml:space="preserve"> (All taxpayers must exclude §291 income as if they were C Corporations)</t>
    </r>
  </si>
  <si>
    <t>O.</t>
  </si>
  <si>
    <t>P</t>
  </si>
  <si>
    <t>P.</t>
  </si>
  <si>
    <t>O</t>
  </si>
  <si>
    <t>INTANGIBLE INCOME SUCH AS INTEREST, DIVIDENDS, ROYALTIES FROM COPYRIGHTS, AND OTHER INTANGIBLE INCOME NOT RELATED TO THE SALE, EXCHANGE OR OTHER DISPOSITION OF §1221 INTANGIBLE PROPERTY</t>
  </si>
  <si>
    <t>Q.</t>
  </si>
  <si>
    <t>Information From Federal Return: All Taxpayers</t>
  </si>
  <si>
    <t>Taxpayers Not Filing as C-Corporations</t>
  </si>
  <si>
    <t>So where are they???</t>
  </si>
  <si>
    <t>Re-formatted "Complete this Page" for ease of use for c-corps &amp; single city returns</t>
  </si>
  <si>
    <t>Wages &amp; Withholding Reconciliation</t>
  </si>
  <si>
    <t>Wage Reconciliation</t>
  </si>
  <si>
    <t>Schedule Y Wages</t>
  </si>
  <si>
    <t>All Activity to 1 City</t>
  </si>
  <si>
    <t>Only 1 RITA City?</t>
  </si>
  <si>
    <t>Fiscal Year?</t>
  </si>
  <si>
    <t>x</t>
  </si>
  <si>
    <t>Check this box if your federal return claimed a deduction for salaries and wages.</t>
  </si>
  <si>
    <t>Fed wage deduction?</t>
  </si>
  <si>
    <t>Message to use</t>
  </si>
  <si>
    <t>Total workplace wages per your withholding tax returns filed for the year covered by this return.</t>
  </si>
  <si>
    <t>Variance</t>
  </si>
  <si>
    <t>Per     Sched Y</t>
  </si>
  <si>
    <t>Per    Forms 11</t>
  </si>
  <si>
    <t>Total salaries &amp; wages and other W-2 compensation reported on your federal return.</t>
  </si>
  <si>
    <t>These five lines prevent formula errors when an amount</t>
  </si>
  <si>
    <t>is "blank" instead of zero.</t>
  </si>
  <si>
    <t>Variance Explanation Required?</t>
  </si>
  <si>
    <t>$ Variances</t>
  </si>
  <si>
    <t>% Variances</t>
  </si>
  <si>
    <t>Sched Y</t>
  </si>
  <si>
    <t>Form 11</t>
  </si>
  <si>
    <t>(a $5,000 variance yields a $50 tax at 1%)</t>
  </si>
  <si>
    <t>For a "True" result, variance must be &gt; $4,999 &amp; &gt; 5%</t>
  </si>
  <si>
    <t>Final City list Build is below</t>
  </si>
  <si>
    <t>1065 Pg 1, Ln 1a &amp; 8825 Ln 2</t>
  </si>
  <si>
    <t>1120S Pg 1, Ln 1a &amp; 8825 Ln 2</t>
  </si>
  <si>
    <t>Sched D, Part I, Ln 4</t>
  </si>
  <si>
    <t>Sched D, Part II, Ln 11</t>
  </si>
  <si>
    <t>Version 2009.1 Starts Here</t>
  </si>
  <si>
    <t>Updated Form references for 2009 except for unreleased REIT.</t>
  </si>
  <si>
    <t>Updated Reference Tab formulas to pull references through 2011</t>
  </si>
  <si>
    <t>Commercial Point</t>
  </si>
  <si>
    <t>Tallmadge</t>
  </si>
  <si>
    <t>Beaverdam</t>
  </si>
  <si>
    <t>Gahanna</t>
  </si>
  <si>
    <t>Killbuck</t>
  </si>
  <si>
    <t>Loveland</t>
  </si>
  <si>
    <t>Melrose</t>
  </si>
  <si>
    <t>Metamora</t>
  </si>
  <si>
    <t>Middle Point</t>
  </si>
  <si>
    <t>Mingo Junction</t>
  </si>
  <si>
    <t>Updated Cities tab formulas to pull 2009 tax rates</t>
  </si>
  <si>
    <t>Updated Cities tab for new RITA Members</t>
  </si>
  <si>
    <t>Updated Cities tab with 2009 tax rates</t>
  </si>
  <si>
    <t>Updated the instructions and version numbers</t>
  </si>
  <si>
    <t>If withholding was remitted under a different EIN than the one being used to file this return, provide the name, address and EIN used to remit the withholding.</t>
  </si>
  <si>
    <t>EIN used:</t>
  </si>
  <si>
    <t>Explanation of Variance(s)</t>
  </si>
  <si>
    <t>Only 1 RITA City</t>
  </si>
  <si>
    <t>Fed Rtn</t>
  </si>
  <si>
    <t>This line prevent formula errors when an amount is blank</t>
  </si>
  <si>
    <t>End</t>
  </si>
  <si>
    <r>
      <t xml:space="preserve">TOTAL DEDUCTIONS </t>
    </r>
    <r>
      <rPr>
        <sz val="7"/>
        <rFont val="Arial"/>
        <family val="2"/>
      </rPr>
      <t>(Add lines N through P.  Enter here and on Form 27, Page 1, Line 2B)</t>
    </r>
  </si>
  <si>
    <t>Q</t>
  </si>
  <si>
    <t>FEDERAL TAXABLE INCOME WORKSHEET</t>
  </si>
  <si>
    <t>For use by taxpayers that are not C Corporations</t>
  </si>
  <si>
    <t>Renoldsburg e-zone tax rates needed</t>
  </si>
  <si>
    <t>Officer's Comp</t>
  </si>
  <si>
    <t>Salaries &amp; Wages</t>
  </si>
  <si>
    <t>Cost of Labor</t>
  </si>
  <si>
    <t>Other Wages</t>
  </si>
  <si>
    <t>Form 1065, Pg 1, Ln 9</t>
  </si>
  <si>
    <t>Sched A, Ln 3</t>
  </si>
  <si>
    <t>Form 1120, Page 1, Ln 12</t>
  </si>
  <si>
    <t>Form 1120, Page 1, Ln 13</t>
  </si>
  <si>
    <t>Form 1120-A, Page 1, Ln 12</t>
  </si>
  <si>
    <t>Form 1120-A, Page 1, Ln 13</t>
  </si>
  <si>
    <t>Part of 1120-A, Page 1, Ln 2</t>
  </si>
  <si>
    <t>Form 1120S, Page 1, Ln 7</t>
  </si>
  <si>
    <t>Form 1120S, Page 1, Ln 8</t>
  </si>
  <si>
    <t>Form 1120-REIT, Page 1, Ln 9</t>
  </si>
  <si>
    <t>Tax Rate Change Error Msg</t>
  </si>
  <si>
    <t>Rate from Cities Table</t>
  </si>
  <si>
    <t>Chg ?</t>
  </si>
  <si>
    <t xml:space="preserve">This function checks for a rate change error message on the Tax Rate Calc page, and elimates the rate so disabling macros </t>
  </si>
  <si>
    <t>won't allow the use of a blended rate</t>
  </si>
  <si>
    <t>Tomek</t>
  </si>
  <si>
    <t>Version 2013 - draft Starts Here</t>
  </si>
  <si>
    <t>Baltic</t>
  </si>
  <si>
    <t>Belle Center</t>
  </si>
  <si>
    <t>Bloomdale</t>
  </si>
  <si>
    <t>Tomek made many changes to implement city block if rate change in tax year</t>
  </si>
  <si>
    <t>Rate to Use on Form 27</t>
  </si>
  <si>
    <t>Calendar</t>
  </si>
  <si>
    <t>Error message from the Tax Rate Calc page</t>
  </si>
  <si>
    <r>
      <t>Version 2009 - tax rate check 3</t>
    </r>
    <r>
      <rPr>
        <sz val="10"/>
        <rFont val="Arial"/>
        <family val="2"/>
      </rPr>
      <t xml:space="preserve"> Starts Here</t>
    </r>
  </si>
  <si>
    <r>
      <t>Version 2009 - tax rate check 2</t>
    </r>
    <r>
      <rPr>
        <sz val="10"/>
        <rFont val="Arial"/>
        <family val="2"/>
      </rPr>
      <t xml:space="preserve"> Starts Here</t>
    </r>
  </si>
  <si>
    <t>Corrected estimate calc on "print this page" to use current tax year rate instead of 2005 rate.  This is better but not great.  Need to pull the subsequent year's rate when available or use the current year's rate if not available in a future release.</t>
  </si>
  <si>
    <t>Added warning that tax year not supported near tax year input boxes on "Complete This Page". This error will fire if macros are disabled.</t>
  </si>
  <si>
    <t>Version 2009 - tax rate check Starts Here</t>
  </si>
  <si>
    <t>Changed city dropdowns on ‘Calculate This Page’ sheet and put some code on this sheet to pop-up a message if the tax cannot be calculated based on buseness’s fiscal year and city combination. Unfortunately this will cause a prompt to enable macros when the spreadsheet is opened.</t>
  </si>
  <si>
    <t>Changed formula on the Data sheet for getting City Index # (cell range B33:B37)</t>
  </si>
  <si>
    <t>Created 2 sheets: Tax Rate Calc and Tax Rates to allow tax rate checks.</t>
  </si>
  <si>
    <t>Replaced Print Return tab with new design (better Schedule Y on page 4)</t>
  </si>
  <si>
    <t>Form 1120-REIT, Page 1, Ln 10</t>
  </si>
  <si>
    <t>General Questions</t>
  </si>
  <si>
    <t>No City if this = 5</t>
  </si>
  <si>
    <t>City Names Below</t>
  </si>
  <si>
    <t>Index Total:</t>
  </si>
  <si>
    <t>Index - 4</t>
  </si>
  <si>
    <t>If only one city is chose, this will be the index #</t>
  </si>
  <si>
    <t>If CityIndex1 = (IndexTotal - 4) give Index# else zero</t>
  </si>
  <si>
    <t>if only one city chosen, name in Column A</t>
  </si>
  <si>
    <t>Message for Questionaire</t>
  </si>
  <si>
    <t>100% One City</t>
  </si>
  <si>
    <t>Firm Name:</t>
  </si>
  <si>
    <t>Address:</t>
  </si>
  <si>
    <t>Preparer's Phone Number:</t>
  </si>
  <si>
    <r>
      <t>Check if Paid Preparer</t>
    </r>
    <r>
      <rPr>
        <sz val="8"/>
        <rFont val="Arial"/>
        <family val="2"/>
      </rPr>
      <t/>
    </r>
  </si>
  <si>
    <t>Located In RITA Municipalities</t>
  </si>
  <si>
    <t>Average original cost of real and tangible personal property</t>
  </si>
  <si>
    <t>Total</t>
  </si>
  <si>
    <t>Combine the two lines above</t>
  </si>
  <si>
    <t>Wages, salaries, and other compensation paid to employees for services perform in the municipality</t>
  </si>
  <si>
    <t>Gross receipts of the business or profession from sales made or service performed in the municipality</t>
  </si>
  <si>
    <t>Information for Allocating Municipal Income</t>
  </si>
  <si>
    <t>(leave preparer info blank if not using a paid preparer)</t>
  </si>
  <si>
    <t>Gross Receipts/Sales</t>
  </si>
  <si>
    <t>Form 1065, Pg 1, Ln 1a</t>
  </si>
  <si>
    <t>Form 1120-A, Pg 1, Ln 1a</t>
  </si>
  <si>
    <t>Form 1120, Pg 1, Ln 1a</t>
  </si>
  <si>
    <t>Form 1120S, Pg 1, Ln 1a</t>
  </si>
  <si>
    <t>Income Taxes</t>
  </si>
  <si>
    <t>Form 1041, Pg 1, Lns 3, 5 &amp; 6</t>
  </si>
  <si>
    <t>Part of 1120-REIT, Pg 1, Ln 14</t>
  </si>
  <si>
    <t>Taxes on or measured by net income</t>
  </si>
  <si>
    <t>Gross receipts from sales or services performed</t>
  </si>
  <si>
    <t>Interest income</t>
  </si>
  <si>
    <t>Dividend income</t>
  </si>
  <si>
    <t>Royalty income on intangible property</t>
  </si>
  <si>
    <t>Compensation of officers</t>
  </si>
  <si>
    <t>Salaries and wages (less employment credits)</t>
  </si>
  <si>
    <t>Cost of labor included in cost of goods sold</t>
  </si>
  <si>
    <t>Other compensation paid to employees</t>
  </si>
  <si>
    <t>Warning on partnership flow-through income from Upper Arlington</t>
  </si>
  <si>
    <t>Charitable contributions</t>
  </si>
  <si>
    <t>Pleasant Hill</t>
  </si>
  <si>
    <t>Added Pleasant Hill to tax table</t>
  </si>
  <si>
    <t>Fredericktown</t>
  </si>
  <si>
    <t>Jackson Center</t>
  </si>
  <si>
    <t>Middleport</t>
  </si>
  <si>
    <t>Ripley</t>
  </si>
  <si>
    <t>Silverton</t>
  </si>
  <si>
    <t>Stratton</t>
  </si>
  <si>
    <t>Health insurance paid or accrued for owners</t>
  </si>
  <si>
    <t>Life insurance paid or accrued for owners</t>
  </si>
  <si>
    <t>Qualified self-employed retirement plan for owners</t>
  </si>
  <si>
    <t>1120, Pg 2, Sched A, Ln 3</t>
  </si>
  <si>
    <t>Trust's Books &amp; Records</t>
  </si>
  <si>
    <t>Form 1065, Sched K, Ln 5</t>
  </si>
  <si>
    <t>Form 1065, Sched K, Ln 6a</t>
  </si>
  <si>
    <t>Form 1065, Sched K, Ln 7</t>
  </si>
  <si>
    <t>Form 1065, Sched A, Ln 3</t>
  </si>
  <si>
    <t>Form 1065, Sched K, Ln 10</t>
  </si>
  <si>
    <t>Form 1065, Sched K, Ln 12</t>
  </si>
  <si>
    <t>Form 1065, Sched K, Ln 13a</t>
  </si>
  <si>
    <t>1065, Sched K, Ln 13d (R)</t>
  </si>
  <si>
    <t>1065, Sched K, Ln 13d (M)</t>
  </si>
  <si>
    <t>Building/Deprec Assets (B)</t>
  </si>
  <si>
    <t>Depletable Assets (B)</t>
  </si>
  <si>
    <t>Land Owned (B)</t>
  </si>
  <si>
    <t>Land Owned (E)</t>
  </si>
  <si>
    <t>Depletable Assets (E)</t>
  </si>
  <si>
    <t>Andover</t>
  </si>
  <si>
    <t>Brooklyn</t>
  </si>
  <si>
    <t>Edison</t>
  </si>
  <si>
    <t>Kent</t>
  </si>
  <si>
    <t>Lockbourne</t>
  </si>
  <si>
    <t>Updated Tax Rates tab - added information for 2011 TY using information from RITAX</t>
  </si>
  <si>
    <t>Updated Cities tab using City Notes spreadsheet maintained by BC. Items highlighted in yellow have not been verified (columns Tax Partnerships as Entity and Tax S-Corp as Entity) . Update (Tomek 12/28/2011) - since columns Tax Partnerships as Entity and Tax S-Corp as Entity are not used beyond hidded Cities tab, I will ignore these.</t>
  </si>
  <si>
    <t>Olmsted JEDD</t>
  </si>
  <si>
    <t>Perry</t>
  </si>
  <si>
    <t>Perry JEDD</t>
  </si>
  <si>
    <t>Portage</t>
  </si>
  <si>
    <t>South Charleston</t>
  </si>
  <si>
    <t>Custom Warning</t>
  </si>
  <si>
    <t>Willoughby Hills</t>
  </si>
  <si>
    <t>Building/Deprec Assets (E)</t>
  </si>
  <si>
    <t>Rents: Real Prop</t>
  </si>
  <si>
    <t>1120-A, Pg 2, Part III, Ln 10(a)</t>
  </si>
  <si>
    <t>1120-A, Pg 2, Part III, Ln 10(b)</t>
  </si>
  <si>
    <t>Rents in COGS</t>
  </si>
  <si>
    <t>Part of 1065, Pg 1, Ln 13</t>
  </si>
  <si>
    <t>Part of 1120, Pg 1, Ln 16</t>
  </si>
  <si>
    <t>Part of 1120-A, Pg 1, Ln 16</t>
  </si>
  <si>
    <t>Part of 1120S, Pg 1, Ln 11</t>
  </si>
  <si>
    <t>Included in lines above</t>
  </si>
  <si>
    <t>Part of 1120-REIT, Pg 1, Ln 13</t>
  </si>
  <si>
    <t>Rent expense on real property not included in COGS</t>
  </si>
  <si>
    <t>Rent expense on real property included in COGS</t>
  </si>
  <si>
    <t>Losses directly related to sale, exchange, etc.</t>
  </si>
  <si>
    <t>Removed Huber Heights</t>
  </si>
  <si>
    <t>Income directly related to sales, exchanges, etc.</t>
  </si>
  <si>
    <t>Losses Under 718.01(A)(1)(d)(ii): 1221 &amp; 1231</t>
  </si>
  <si>
    <t>If greater than zero, put here</t>
  </si>
  <si>
    <t>1250 (291) Gains</t>
  </si>
  <si>
    <t>Calculated at bottom of info entered from fed return</t>
  </si>
  <si>
    <t>From last line of info entered from fed return</t>
  </si>
  <si>
    <t>Section 291 gains for non C-Corps is 20% of line above</t>
  </si>
  <si>
    <t>Add-back reduction for non C-Corps</t>
  </si>
  <si>
    <t>Checks return type flag so C-Corps are not screwed-up</t>
  </si>
  <si>
    <t>Verifiy One City</t>
  </si>
  <si>
    <t>Allocation Factors</t>
  </si>
  <si>
    <t xml:space="preserve">  Property</t>
  </si>
  <si>
    <t xml:space="preserve">  Wages</t>
  </si>
  <si>
    <t xml:space="preserve">  Sales</t>
  </si>
  <si>
    <t xml:space="preserve">    Total</t>
  </si>
  <si>
    <t>Computed Property Factor</t>
  </si>
  <si>
    <t>Warning on 754 partnership adjustments</t>
  </si>
  <si>
    <t>Computed Wage Factor</t>
  </si>
  <si>
    <t>Computed Receipts Factor</t>
  </si>
  <si>
    <t>Average Allocation Percentages</t>
  </si>
  <si>
    <t>Allocation Rounding Errors</t>
  </si>
  <si>
    <t xml:space="preserve">  Sum of Sched Y Inc Alloc</t>
  </si>
  <si>
    <t xml:space="preserve">  Page 1 Inc Alloc to RITA</t>
  </si>
  <si>
    <t>if actual formula used</t>
  </si>
  <si>
    <t xml:space="preserve">  Absolute value of difference</t>
  </si>
  <si>
    <t>&lt;&lt;-- Error Message Here</t>
  </si>
  <si>
    <t>Version 2010 - draft Starts Here</t>
  </si>
  <si>
    <t>Adelphi</t>
  </si>
  <si>
    <t>Antwerp</t>
  </si>
  <si>
    <t>Cairo</t>
  </si>
  <si>
    <t>Chardon</t>
  </si>
  <si>
    <t>Huron</t>
  </si>
  <si>
    <t>McClure</t>
  </si>
  <si>
    <t>Mifflin</t>
  </si>
  <si>
    <t>Miller City</t>
  </si>
  <si>
    <t>Mineral City</t>
  </si>
  <si>
    <t>Pataskala</t>
  </si>
  <si>
    <t>Quincy</t>
  </si>
  <si>
    <t>Saint Clairsville</t>
  </si>
  <si>
    <t>Sardinia</t>
  </si>
  <si>
    <t>Thurston</t>
  </si>
  <si>
    <t>Waynesville</t>
  </si>
  <si>
    <t>Updated References tab - all changes in red font</t>
  </si>
  <si>
    <t>City chosen must be in the top box!</t>
  </si>
  <si>
    <t>Your return indicates a balance due of $XXXX.</t>
  </si>
  <si>
    <t>Based on the tax liability for this year, RITA has calculated your estimated taxes due for next year as $xxx.  If you wish to override this amount, enter your total estimate here:</t>
  </si>
  <si>
    <t>Estimated Taxes</t>
  </si>
  <si>
    <t>Credit Carryforwards</t>
  </si>
  <si>
    <t>Overpayment</t>
  </si>
  <si>
    <t>Calculated Estimate</t>
  </si>
  <si>
    <t>Return Summary</t>
  </si>
  <si>
    <t>Return Due Date</t>
  </si>
  <si>
    <t>ck table</t>
  </si>
  <si>
    <t>Est Tax in Arrears</t>
  </si>
  <si>
    <t>Today's Date</t>
  </si>
  <si>
    <t>Days Since Due Date</t>
  </si>
  <si>
    <t>Override Estimate</t>
  </si>
  <si>
    <t>Min Est Due?</t>
  </si>
  <si>
    <t>Estimate after Credits</t>
  </si>
  <si>
    <t>Allocation of Estimated Tax</t>
  </si>
  <si>
    <t>Your Good Faith Allocations if Different</t>
  </si>
  <si>
    <t>Version 2007.0 Starts Here</t>
  </si>
  <si>
    <t>Updated City Tax Tables on "Cities" sheet</t>
  </si>
  <si>
    <t>Changed Page 4 to accomidate new Sched Y layout. Uses 2008 form style.</t>
  </si>
  <si>
    <t>Corrected references throughout the workbook required as a result of new page 4 layout</t>
  </si>
  <si>
    <t>Began updating Federal Form references for 2007 tax forms (most still not published)</t>
  </si>
  <si>
    <t>Moved Schedule Z (Partner info) from Page 4 to "Print Schedules"</t>
  </si>
  <si>
    <t>Move all calculations off of "Print Return" so that form changes don't break references</t>
  </si>
  <si>
    <t>Your return indicates an overpayment for the year.  You must choose if you want your overpayment refunded or credited to the following year.  Over-payments cannot be split between a refund and a credit.</t>
  </si>
  <si>
    <t>You cannot choose both a refund and a credit</t>
  </si>
  <si>
    <t>Version 2012 - draft Starts Here</t>
  </si>
  <si>
    <t>Dennison</t>
  </si>
  <si>
    <t>North Ridgeville</t>
  </si>
  <si>
    <t>Sugarcreek</t>
  </si>
  <si>
    <t>Waterville</t>
  </si>
  <si>
    <t>Wellington</t>
  </si>
  <si>
    <t>Danville</t>
  </si>
  <si>
    <t>Updated Cities tab using City Notes spreadsheet maintained by BC.</t>
  </si>
  <si>
    <t>Updated Tax Rates tab - added information for 2012 TY using information from RITAX database</t>
  </si>
  <si>
    <t>You must choose whether to apply your overpayment as credit or have it refunded.</t>
  </si>
  <si>
    <t>Auto-Allocations Based on Our Estimate</t>
  </si>
  <si>
    <t>Auto-Allocations Based on Your Estimate</t>
  </si>
  <si>
    <t>Estimated Tax Allocation Info</t>
  </si>
  <si>
    <t>Override Total Est?</t>
  </si>
  <si>
    <t>Override Auto-Alloc?</t>
  </si>
  <si>
    <t>Checks for three possible cases &lt;--- then adds up</t>
  </si>
  <si>
    <t>Less available credit from current year's overpayment</t>
  </si>
  <si>
    <t>Estimate tax due after credit</t>
  </si>
  <si>
    <t>Final Questions</t>
  </si>
  <si>
    <t>Tax Due for the Current Year</t>
  </si>
  <si>
    <t>Estimated Tax Payments &amp; Credits from Prior Years</t>
  </si>
  <si>
    <t>Estimated Taxes Due for Next Year</t>
  </si>
  <si>
    <t>Balance Due or (Overpaid) for Current Year</t>
  </si>
  <si>
    <t>Net Amount Due or (Overpaid) with This Return</t>
  </si>
  <si>
    <t>Estimated Taxes After Overpayments Paid with This Return</t>
  </si>
  <si>
    <t>Income before net operating losses and special deductions</t>
  </si>
  <si>
    <t>a)</t>
  </si>
  <si>
    <t>b)</t>
  </si>
  <si>
    <t>c)</t>
  </si>
  <si>
    <t>(Line 1 plus or minus line 2C) if Schedule X is used</t>
  </si>
  <si>
    <t>Corrected NOL to 5yrs for Sardinia per section 3(c) of their ordinance</t>
  </si>
  <si>
    <t>Eaton</t>
  </si>
  <si>
    <t>Hiram</t>
  </si>
  <si>
    <t>Solon</t>
  </si>
  <si>
    <t>Amsterdam</t>
  </si>
  <si>
    <t>Oak Hill</t>
  </si>
  <si>
    <t>Ravenna</t>
  </si>
  <si>
    <t>Patterson</t>
  </si>
  <si>
    <t>Conesville</t>
  </si>
  <si>
    <t>Empire</t>
  </si>
  <si>
    <t>Blended tax rate for 2014</t>
  </si>
  <si>
    <t>Version 2014 - draft Starts Here</t>
  </si>
  <si>
    <t>Federal net operating loss calculated as if a C-corporation</t>
  </si>
  <si>
    <t>Federal dividend &amp; special deductions calculated as if a C-corporation</t>
  </si>
  <si>
    <t>Add Lines 27 and 28</t>
  </si>
  <si>
    <t>Federal taxable income calculated as if a C-corporation before required adjustments</t>
  </si>
  <si>
    <t>Owner health, life or qualified self-employed retirement plan</t>
  </si>
  <si>
    <t>Capital losses in excess of gains or (capital loss carryovers used)</t>
  </si>
  <si>
    <r>
      <t xml:space="preserve">Excess </t>
    </r>
    <r>
      <rPr>
        <sz val="10"/>
        <rFont val="Calibri"/>
        <family val="2"/>
      </rPr>
      <t>§</t>
    </r>
    <r>
      <rPr>
        <sz val="10"/>
        <rFont val="Arial"/>
        <family val="2"/>
      </rPr>
      <t>179 deductions of (</t>
    </r>
    <r>
      <rPr>
        <sz val="10"/>
        <rFont val="Calibri"/>
        <family val="2"/>
      </rPr>
      <t>§</t>
    </r>
    <r>
      <rPr>
        <sz val="10"/>
        <rFont val="Arial"/>
        <family val="2"/>
      </rPr>
      <t>179 carryovers used)</t>
    </r>
  </si>
  <si>
    <t>Excess charitable contributions or (contribution carryovers used)</t>
  </si>
  <si>
    <t>Revised the Form 8903 tab to account for federal NOL's &amp; federal dividend deductions.</t>
  </si>
  <si>
    <t>Capital losses in excess of gains or (loss carryovers used)</t>
  </si>
  <si>
    <t>Revised the Form 8903 (pre 2011) tab to account for federal NOL's &amp; federal dividend deductions.</t>
  </si>
  <si>
    <t>Version 2015 - draft Starts Here</t>
  </si>
  <si>
    <t>Major revisions likely necessary to deal with HB 5 changes effective 1/1/2016 (fiscal years?)</t>
  </si>
  <si>
    <t>Would like to add automatic blended rate calculation for tax rate changes</t>
  </si>
  <si>
    <t>Tomek / Richard D</t>
  </si>
  <si>
    <t>From Schedules C, E &amp; F</t>
  </si>
  <si>
    <t>Sched D, Part II, Ln 16 less Ln 14</t>
  </si>
  <si>
    <t>Sched D, Part II, Ln 15 less Ln 11</t>
  </si>
  <si>
    <r>
      <t>Updated References tab for 2015 (</t>
    </r>
    <r>
      <rPr>
        <sz val="10"/>
        <color indexed="10"/>
        <rFont val="Arial"/>
        <family val="2"/>
      </rPr>
      <t>copy and paste from 2014 and updated formulas in column C - needs review</t>
    </r>
    <r>
      <rPr>
        <sz val="10"/>
        <rFont val="Arial"/>
        <family val="2"/>
      </rPr>
      <t>). Review Completed</t>
    </r>
  </si>
  <si>
    <t>Bainbridge Twp / Solon JEDD</t>
  </si>
  <si>
    <t>Brimfield Twp / Tallmadge JEDD</t>
  </si>
  <si>
    <t>Harrison Twp JEDD</t>
  </si>
  <si>
    <t>LaGrange</t>
  </si>
  <si>
    <t>Manchester (Adams Co)</t>
  </si>
  <si>
    <t>Eaton JEDD (Lorain Co)</t>
  </si>
  <si>
    <t>Oakwood Village (Cuyahoga Co)</t>
  </si>
  <si>
    <t>Rush Twp / Uhrichsville JEDD</t>
  </si>
  <si>
    <t>Scioto Twp JEDD</t>
  </si>
  <si>
    <t>Springfield Twp JEDZ I</t>
  </si>
  <si>
    <t>Macedonia/Northfield Ctr Twp JEDD</t>
  </si>
  <si>
    <t>Painesville / Concord JEDD</t>
  </si>
  <si>
    <t>Reminderville / Twins. Twp JEDD</t>
  </si>
  <si>
    <t>Blended tax rate for 2013</t>
  </si>
  <si>
    <t>Blended tax rate for 2012</t>
  </si>
  <si>
    <r>
      <t xml:space="preserve">Updated Tax Rates and Cities tab - added information for 2014/2015 TYs using information from RITAX database
New rows are highlighted in </t>
    </r>
    <r>
      <rPr>
        <sz val="10"/>
        <color indexed="57"/>
        <rFont val="Arial"/>
        <family val="2"/>
      </rPr>
      <t>green</t>
    </r>
    <r>
      <rPr>
        <sz val="10"/>
        <rFont val="Arial"/>
        <family val="2"/>
      </rPr>
      <t xml:space="preserve">, changed rows are highlighted in </t>
    </r>
    <r>
      <rPr>
        <sz val="10"/>
        <color indexed="51"/>
        <rFont val="Arial"/>
        <family val="2"/>
      </rPr>
      <t xml:space="preserve">orange
</t>
    </r>
    <r>
      <rPr>
        <sz val="10"/>
        <rFont val="Arial"/>
        <family val="2"/>
      </rPr>
      <t>Review of Tax Rate Tab Completed.
Cities Tab review completed.</t>
    </r>
  </si>
  <si>
    <t>Clinton Twp/Grandview Hts JEDZ</t>
  </si>
  <si>
    <t>Elyria Twp / Elyria JEDD</t>
  </si>
  <si>
    <t>Issues discovered during testing for Moscow and Jeromesville. Fixed what I broke (name searches)</t>
  </si>
  <si>
    <t>Fixed conditional formatting issues with boxes around tax liabilities on Page 2 of Print Return Tab</t>
  </si>
  <si>
    <t>Would like to replace data validation city selection with combo boxes to increase the number of choices shown from 8 to something between 16 and 20.</t>
  </si>
  <si>
    <t>Changed version number to 2014.1</t>
  </si>
  <si>
    <t>Blended tax rate for 2015</t>
  </si>
  <si>
    <t>Boston Twp / Peninsula JEDD</t>
  </si>
  <si>
    <t>Holland</t>
  </si>
  <si>
    <t>Holland Springfield Twp JEDZ</t>
  </si>
  <si>
    <t>Eastlake</t>
  </si>
  <si>
    <t>Peninsula</t>
  </si>
  <si>
    <t>Trimble</t>
  </si>
  <si>
    <t>Amanda</t>
  </si>
  <si>
    <t>Lowellville</t>
  </si>
  <si>
    <t>Rate Changed 1/01/16</t>
  </si>
  <si>
    <t>Rate changed 1/01/16</t>
  </si>
  <si>
    <t>Added: Amanda &amp; Lowellville</t>
  </si>
  <si>
    <t>Added future rate changes for Danville &amp; Wayneville</t>
  </si>
  <si>
    <t>Added:
117 - Boston Twp / Peninsula JEDD
273 - Eastlake
381 - Holland
244 - Holland Springfield Twp JEDZ
631 - Peninsula
855 - Trimble
Updated rates for:
190 - Circleville
657 - Ravenna
Review completed. NOL's corrected.</t>
  </si>
  <si>
    <t>Added special note for Lepsic &amp; Milford Center (both leaving RITA 12/31/15). Note will not print, but will remind me to remove these two muni's 1/01/16.</t>
  </si>
  <si>
    <t>Version 2014.2 - Starts Here</t>
  </si>
  <si>
    <t>Updated version number to 2014.2</t>
  </si>
  <si>
    <t>Ashley</t>
  </si>
  <si>
    <t>Bellefontaine</t>
  </si>
  <si>
    <t>Bethel</t>
  </si>
  <si>
    <t>Ney</t>
  </si>
  <si>
    <t>Rocky River</t>
  </si>
  <si>
    <t>Wadsworth</t>
  </si>
  <si>
    <r>
      <t>Updated References tab for 2016 (</t>
    </r>
    <r>
      <rPr>
        <sz val="10"/>
        <color indexed="10"/>
        <rFont val="Arial"/>
        <family val="2"/>
      </rPr>
      <t>copy and paste from 2015 and updated formulas in column C - needs review</t>
    </r>
    <r>
      <rPr>
        <sz val="10"/>
        <rFont val="Arial"/>
        <family val="2"/>
      </rPr>
      <t>). Review Completed</t>
    </r>
  </si>
  <si>
    <t>Milford JEDD</t>
  </si>
  <si>
    <t>Milford JEDD II</t>
  </si>
  <si>
    <t>Milford JEDD III</t>
  </si>
  <si>
    <t>Milford JEDD IV</t>
  </si>
  <si>
    <r>
      <t>Attachment to</t>
    </r>
    <r>
      <rPr>
        <sz val="10"/>
        <rFont val="Arial"/>
        <family val="2"/>
      </rPr>
      <t xml:space="preserve"> Form</t>
    </r>
  </si>
  <si>
    <t>Calculation of IRC §291 Adjustments</t>
  </si>
  <si>
    <t>Property A</t>
  </si>
  <si>
    <t>Property B</t>
  </si>
  <si>
    <t>Property C</t>
  </si>
  <si>
    <t>Property D</t>
  </si>
  <si>
    <t>Enter the smaller of line 16 or 17 ("1245 Gain")</t>
  </si>
  <si>
    <t>Excess of "§1245 Gain" over §1250 Gain</t>
  </si>
  <si>
    <t>Ln 3 Less Ln 4</t>
  </si>
  <si>
    <t>IRC §291 Gain. Enter 20% of Line 5</t>
  </si>
  <si>
    <t>Property E</t>
  </si>
  <si>
    <t>Property F</t>
  </si>
  <si>
    <t>Property G</t>
  </si>
  <si>
    <t>Property H</t>
  </si>
  <si>
    <t>Property I</t>
  </si>
  <si>
    <t>Property J</t>
  </si>
  <si>
    <t>Property K</t>
  </si>
  <si>
    <t>Property L</t>
  </si>
  <si>
    <t>Property M</t>
  </si>
  <si>
    <t>Property N</t>
  </si>
  <si>
    <t>Property O</t>
  </si>
  <si>
    <t>Property P</t>
  </si>
  <si>
    <t>Property Q</t>
  </si>
  <si>
    <t>Property R</t>
  </si>
  <si>
    <t>Property S</t>
  </si>
  <si>
    <t>Property T</t>
  </si>
  <si>
    <r>
      <t xml:space="preserve">Add property columns A through T, Line 6.  Enter here and in </t>
    </r>
    <r>
      <rPr>
        <sz val="10"/>
        <rFont val="Calibri"/>
        <family val="2"/>
      </rPr>
      <t>§</t>
    </r>
    <r>
      <rPr>
        <sz val="10"/>
        <rFont val="Arial"/>
        <family val="2"/>
      </rPr>
      <t>291 box of Schedule X, Line N</t>
    </r>
  </si>
  <si>
    <t>Added '291 Worksheet' Tab to deal with multiple 1250 properties when there are both gains &amp; losses</t>
  </si>
  <si>
    <t>Small Business</t>
  </si>
  <si>
    <t>Check this box if you are a small employer [total receipts, gains, intangible income, reimbursements, etc. &lt; $500,000].</t>
  </si>
  <si>
    <t>INCOME PER ATTACHED FEDERAL RETURN</t>
  </si>
  <si>
    <t>Added 'Small Employer' checkbox to 'Complete This Page' &amp; 'Print Return'</t>
  </si>
  <si>
    <t>Changed Page1, Line 1 of 'Print Return' to match latest version of paper Form 27</t>
  </si>
  <si>
    <t>Changed Form Number in bottom right of all 4 pages of 'Print Return' to 27F15</t>
  </si>
  <si>
    <t>Blended tax rate for 2007</t>
  </si>
  <si>
    <r>
      <t xml:space="preserve">Updated Tax Rates and Cities tab - added information for 2016 TY using information from RITAX database
New rows are highlighted in </t>
    </r>
    <r>
      <rPr>
        <sz val="10"/>
        <color indexed="57"/>
        <rFont val="Arial"/>
        <family val="2"/>
      </rPr>
      <t>green</t>
    </r>
    <r>
      <rPr>
        <sz val="10"/>
        <rFont val="Arial"/>
        <family val="2"/>
      </rPr>
      <t xml:space="preserve">, changed values are highlighted in </t>
    </r>
    <r>
      <rPr>
        <sz val="10"/>
        <color indexed="51"/>
        <rFont val="Arial"/>
        <family val="2"/>
      </rPr>
      <t xml:space="preserve">orange
</t>
    </r>
    <r>
      <rPr>
        <sz val="10"/>
        <rFont val="Arial"/>
        <family val="2"/>
      </rPr>
      <t>Checked Tax Rate Tab (Added all Milford JEDDs)-Rdonnelly
Checked Cities Tab (Added all Milford JEDDs)-Rdonnelly</t>
    </r>
  </si>
  <si>
    <t>Updated version number on Complete This Page tab to 2015.2</t>
  </si>
  <si>
    <t>With Payment</t>
  </si>
  <si>
    <t>PO BOX 94582</t>
  </si>
  <si>
    <t>Added new address for mailing returns with payment to pages 2 &amp; 4 of "Print Return"</t>
  </si>
  <si>
    <t>Updated version number on Complete This Page tab to 2015.3</t>
  </si>
  <si>
    <t>Fixed conditional formating of second line of Schedule B (tax rate did not always show)</t>
  </si>
  <si>
    <t>Fixed formula error on IRC section 291 calculation</t>
  </si>
  <si>
    <t>Updated version number to 2015.4</t>
  </si>
  <si>
    <t>Version 2016 - draft Starts Here</t>
  </si>
  <si>
    <t>Changed Form Number in bottom right of all 4 pages of 'Print Return' to 27F16</t>
  </si>
  <si>
    <t>Updated version number on Complete This Page tab to 2016.1</t>
  </si>
  <si>
    <r>
      <t>Updated References tab for 2017 (</t>
    </r>
    <r>
      <rPr>
        <sz val="10"/>
        <color indexed="10"/>
        <rFont val="Arial"/>
        <family val="2"/>
      </rPr>
      <t>copy and paste from 2016 and updated formulas in column C - needs review</t>
    </r>
    <r>
      <rPr>
        <sz val="10"/>
        <rFont val="Arial"/>
        <family val="2"/>
      </rPr>
      <t>).</t>
    </r>
  </si>
  <si>
    <t>Circleville-Pickaway Twp JEDD</t>
  </si>
  <si>
    <t>Blended tax rate for 2016</t>
  </si>
  <si>
    <t>Darbyville</t>
  </si>
  <si>
    <t>Rate Changed 1/01/17</t>
  </si>
  <si>
    <t>Clarksville</t>
  </si>
  <si>
    <t>Edgerton</t>
  </si>
  <si>
    <t>Degraff</t>
  </si>
  <si>
    <t>Elmwood Place</t>
  </si>
  <si>
    <t>Fostoria</t>
  </si>
  <si>
    <t>Jeffersonville</t>
  </si>
  <si>
    <t>Midvale</t>
  </si>
  <si>
    <t>Northfield Village</t>
  </si>
  <si>
    <t>North Canton</t>
  </si>
  <si>
    <t>Norwalk</t>
  </si>
  <si>
    <t>Ostrander</t>
  </si>
  <si>
    <t>Lyons</t>
  </si>
  <si>
    <t>Marengo</t>
  </si>
  <si>
    <t>Millersport</t>
  </si>
  <si>
    <t>South Vienna</t>
  </si>
  <si>
    <r>
      <t xml:space="preserve">Updated Tax Rates tab - added information for 2016/2017 TYs using information from RITAX database
New rows are highlighted in </t>
    </r>
    <r>
      <rPr>
        <sz val="10"/>
        <color indexed="57"/>
        <rFont val="Arial"/>
        <family val="2"/>
      </rPr>
      <t>green</t>
    </r>
    <r>
      <rPr>
        <sz val="10"/>
        <rFont val="Arial"/>
        <family val="2"/>
      </rPr>
      <t xml:space="preserve">, cities with blended rate for 2016 are highlighted in </t>
    </r>
    <r>
      <rPr>
        <sz val="10"/>
        <color indexed="51"/>
        <rFont val="Arial"/>
        <family val="2"/>
      </rPr>
      <t>orange</t>
    </r>
  </si>
  <si>
    <r>
      <t xml:space="preserve">Updated Cities tab - added information for 2016 TY using information from RITAX database
New rows are highlighted in </t>
    </r>
    <r>
      <rPr>
        <sz val="10"/>
        <color indexed="57"/>
        <rFont val="Arial"/>
        <family val="2"/>
      </rPr>
      <t>green</t>
    </r>
    <r>
      <rPr>
        <sz val="10"/>
        <rFont val="Arial"/>
        <family val="2"/>
      </rPr>
      <t xml:space="preserve">, cities with blended rates for 2016 are highlighted in </t>
    </r>
    <r>
      <rPr>
        <sz val="10"/>
        <color indexed="51"/>
        <rFont val="Arial"/>
        <family val="2"/>
      </rPr>
      <t>orange</t>
    </r>
  </si>
  <si>
    <t>Consolidated Filer with 80% ownership of a Pass-Through Entity</t>
  </si>
  <si>
    <t>Alternate Method</t>
  </si>
  <si>
    <t>Extension</t>
  </si>
  <si>
    <t>Note: For each separate municipality listed below, if Tax Due is $10 or less, enter -0-</t>
  </si>
  <si>
    <t>Updated Page 1 on Print Return tab:
- added new checkboxes and linked to fields on the Data sheet: Extension ($B$165), Alternate Method ($B$167), Consolidated filer with 80% ownership of a Pass-Through Entity ($B$169)</t>
  </si>
  <si>
    <r>
      <t xml:space="preserve">RITA Form 27 is used by corporations (including S corporations), estates, limited liability companies, partnerships, and trusts to report net profit (or loss) and to pay the tax due as a result of profits earned while conducting business in one or more RITA municipalities.  </t>
    </r>
    <r>
      <rPr>
        <b/>
        <sz val="8"/>
        <rFont val="Arial"/>
        <family val="2"/>
      </rPr>
      <t>Form restrictions are listed below.  Please scroll down and review them.</t>
    </r>
  </si>
  <si>
    <r>
      <t>Under</t>
    </r>
    <r>
      <rPr>
        <sz val="8"/>
        <rFont val="Arial"/>
        <family val="2"/>
      </rPr>
      <t xml:space="preserve"> </t>
    </r>
    <r>
      <rPr>
        <u/>
        <sz val="8"/>
        <rFont val="Arial"/>
        <family val="2"/>
      </rPr>
      <t>no</t>
    </r>
    <r>
      <rPr>
        <sz val="8"/>
        <rFont val="Arial"/>
        <family val="2"/>
      </rPr>
      <t xml:space="preserve"> </t>
    </r>
    <r>
      <rPr>
        <u/>
        <sz val="8"/>
        <rFont val="Arial"/>
        <family val="2"/>
      </rPr>
      <t>circumstance</t>
    </r>
    <r>
      <rPr>
        <sz val="8"/>
        <rFont val="Arial"/>
        <family val="2"/>
      </rPr>
      <t xml:space="preserve"> does the use of this worksheet exempt the return from RITA audit processes nor does this form excuse any penalties and interest that may result from the underpayment of the actual taxes due.</t>
    </r>
  </si>
  <si>
    <t>Preparers should enter information in the blue boxes on the "Complete This Page" tab and, if applicable, the "Form 8903" tab.  When finished, print the "Print Return" worksheet, the "Print Schedules" worksheet, and if applicable, the "Form 8903" worksheet.  Review the return for accuracy, have the taxpayer sign the return, and then mail the return, schedules, and a copy of the taxpayer's federal return to the address shown on page 4 of the Form 27.  If payment is due, make the check or money order payable to RITA and include it with the return.</t>
  </si>
  <si>
    <t>Updated Page 2 (Schedule B) on Print Return tab:
- Estimated Tax formula returns $0 if Taxable Income * Tax Rate &lt;= $200 (applied to each separate municipality)</t>
  </si>
  <si>
    <t>Updated Page 2 (Schedule B) on Print Return tab:
- Tax Due formula returns $0 if Taxable Income * Tax Rate &lt;= $10 (applied to each separate municipality)</t>
  </si>
  <si>
    <t>Gettysburg</t>
  </si>
  <si>
    <t>Hanover</t>
  </si>
  <si>
    <t>Newtonsville</t>
  </si>
  <si>
    <t>Smithfield</t>
  </si>
  <si>
    <t>Aberdeen</t>
  </si>
  <si>
    <t>Barnesville</t>
  </si>
  <si>
    <t>Barnesville JEDD 1</t>
  </si>
  <si>
    <t>Barnesville JEDD 2</t>
  </si>
  <si>
    <t>Blended tax rate for 2017</t>
  </si>
  <si>
    <t>Blended tax rate for 2008</t>
  </si>
  <si>
    <t>Elmore</t>
  </si>
  <si>
    <t>Fayette</t>
  </si>
  <si>
    <t>Felicity</t>
  </si>
  <si>
    <t>Kirkersville</t>
  </si>
  <si>
    <t>Leetonia</t>
  </si>
  <si>
    <t>Lodi</t>
  </si>
  <si>
    <t>Madison Village</t>
  </si>
  <si>
    <t>Medina</t>
  </si>
  <si>
    <t>Medina / Montville JEDD</t>
  </si>
  <si>
    <t>New Washington</t>
  </si>
  <si>
    <t>Newton Falls</t>
  </si>
  <si>
    <t>Niles</t>
  </si>
  <si>
    <t>Blended tax rate for 2014 and 2017</t>
  </si>
  <si>
    <t>Sebring</t>
  </si>
  <si>
    <t>Stoutsville</t>
  </si>
  <si>
    <t>Washingtonville</t>
  </si>
  <si>
    <t>West Lafayette</t>
  </si>
  <si>
    <t>Wickliffe</t>
  </si>
  <si>
    <t>Williamsport</t>
  </si>
  <si>
    <t>Attach explanation of any difference between total wages remitted and total wages shown on Schedule Y above.</t>
  </si>
  <si>
    <t>Provide the Company Name and Federal Identification Number under which the withholding tax was remitted, if different than information on page 1.</t>
  </si>
  <si>
    <r>
      <rPr>
        <b/>
        <sz val="8"/>
        <rFont val="Arial"/>
        <family val="2"/>
      </rPr>
      <t>SCHEDULE Z: PASS-THROUGH DISTRIBUTIVE SHARES OF NET INCOME</t>
    </r>
    <r>
      <rPr>
        <sz val="8"/>
        <rFont val="Arial"/>
        <family val="2"/>
      </rPr>
      <t xml:space="preserve">
Attach a schedule of each partner's/shareholder's name, social security number, distributive share, guaranteed payments (if applicable) and taxable percentage.</t>
    </r>
  </si>
  <si>
    <r>
      <rPr>
        <b/>
        <sz val="8"/>
        <rFont val="Arial"/>
        <family val="2"/>
      </rPr>
      <t>SCHEDULE ZZ: CONSOLIDATED RETURN INFORMATION</t>
    </r>
    <r>
      <rPr>
        <sz val="8"/>
        <rFont val="Arial"/>
        <family val="2"/>
      </rPr>
      <t xml:space="preserve">
If filing a consolidated return, you must attach Federal Form 851 or a schedule listing each name, address and employer identification number.</t>
    </r>
  </si>
  <si>
    <t>Version 2017 - draft Starts Here</t>
  </si>
  <si>
    <t>Updated References tab for 2018</t>
  </si>
  <si>
    <t>Updated version number on Complete This Page tab to 2017.0</t>
  </si>
  <si>
    <t>Changed Form Number in bottom right of all 4 pages of 'Print Return' to 27F17</t>
  </si>
  <si>
    <r>
      <t xml:space="preserve">Updated Tax Rates tab - added information for 2017/2018 TYs using information from RITAX database
New rows are highlighted in </t>
    </r>
    <r>
      <rPr>
        <sz val="10"/>
        <color indexed="57"/>
        <rFont val="Arial"/>
        <family val="2"/>
      </rPr>
      <t>green.</t>
    </r>
  </si>
  <si>
    <r>
      <t xml:space="preserve">Updated Cities tab - added information for 2017/2018 TY using information from RITAX database
New rows are highlighted in </t>
    </r>
    <r>
      <rPr>
        <sz val="10"/>
        <color indexed="57"/>
        <rFont val="Arial"/>
        <family val="2"/>
      </rPr>
      <t>green</t>
    </r>
    <r>
      <rPr>
        <sz val="10"/>
        <rFont val="Arial"/>
        <family val="2"/>
      </rPr>
      <t>.</t>
    </r>
  </si>
  <si>
    <t>Updated Page 1 on Print Return tab (wording changed)</t>
  </si>
  <si>
    <t>Updated Page 4 on Print Return tab (additional instructions for Schedule Z and Schedule  ZZ)</t>
  </si>
  <si>
    <r>
      <t>Note:</t>
    </r>
    <r>
      <rPr>
        <sz val="8"/>
        <rFont val="Arial"/>
        <family val="2"/>
      </rPr>
      <t xml:space="preserve"> Fiscal year taxpayers use "fiscal year beginning in 20XX" when completing this schedule.</t>
    </r>
  </si>
  <si>
    <t>Without Payment</t>
  </si>
  <si>
    <r>
      <t xml:space="preserve">The federal return </t>
    </r>
    <r>
      <rPr>
        <b/>
        <sz val="7"/>
        <rFont val="Arial"/>
        <family val="2"/>
      </rPr>
      <t>MUST</t>
    </r>
    <r>
      <rPr>
        <sz val="7"/>
        <rFont val="Arial"/>
        <family val="2"/>
      </rPr>
      <t xml:space="preserve"> be attached to be considered a complete tax return. Please also attach all applicable schedules and 1099-MISC to avoid delays.</t>
    </r>
  </si>
  <si>
    <t>Federal Identification Number</t>
  </si>
  <si>
    <t>The business is using an alternate method for allocating income.</t>
  </si>
  <si>
    <t>Annual rental or lease amount multiplied by 8</t>
  </si>
  <si>
    <t>Gross annual rents paid wherever situated multiplied by 8</t>
  </si>
  <si>
    <t>St. Louisville</t>
  </si>
  <si>
    <r>
      <t xml:space="preserve">This worksheet is intended as an aid for tax preparation.  The form will be useful in many situations but it does not apply to all possible filing scenarios. </t>
    </r>
    <r>
      <rPr>
        <b/>
        <sz val="8"/>
        <rFont val="Arial"/>
        <family val="2"/>
      </rPr>
      <t xml:space="preserve"> Form restrictions are listed below.  Please scroll down and review them.</t>
    </r>
  </si>
  <si>
    <t>The business is filing a return for a tax year beginning after December 31, 2018.</t>
  </si>
  <si>
    <t>Version 2018 - draft Starts Here</t>
  </si>
  <si>
    <t>Updated References tab for 2019</t>
  </si>
  <si>
    <t>NPAC v2018.0</t>
  </si>
  <si>
    <t>Updated version number on Complete This Page tab to 2018.0</t>
  </si>
  <si>
    <t>27F18</t>
  </si>
  <si>
    <t>Changed Form Number in bottom right of all 4 pages of 'Print Return' to 27F18</t>
  </si>
  <si>
    <t>Amelia</t>
  </si>
  <si>
    <t>Blended tax rate for 2018</t>
  </si>
  <si>
    <t>Brice</t>
  </si>
  <si>
    <t>Canal Winchester</t>
  </si>
  <si>
    <t>Chesterville</t>
  </si>
  <si>
    <t>Cuyahoga Falls Boston Twp JEDD</t>
  </si>
  <si>
    <t>Golf Manor</t>
  </si>
  <si>
    <t>Groveport</t>
  </si>
  <si>
    <t>Harrisburg</t>
  </si>
  <si>
    <t>Jackson</t>
  </si>
  <si>
    <t>Malvern</t>
  </si>
  <si>
    <t>Milford JEDD V</t>
  </si>
  <si>
    <t>North College Hill</t>
  </si>
  <si>
    <t>Payne</t>
  </si>
  <si>
    <t>Williamsburg JEDD</t>
  </si>
  <si>
    <t>Windham</t>
  </si>
  <si>
    <t>Utilize NOL incurred prior to 1/1/17 first</t>
  </si>
  <si>
    <t>Local Rcpts Figures</t>
  </si>
  <si>
    <t>3D</t>
  </si>
  <si>
    <t>3B(i)</t>
  </si>
  <si>
    <t>3B(ii)</t>
  </si>
  <si>
    <t>3B(iii)</t>
  </si>
  <si>
    <t xml:space="preserve">i. </t>
  </si>
  <si>
    <t>TOTAL UNUTILIZED PRE-APPORTIONED LOSSES</t>
  </si>
  <si>
    <t>ii.</t>
  </si>
  <si>
    <t xml:space="preserve">iii. </t>
  </si>
  <si>
    <t>FROM TAX YEARS BEGINNING ON OR AFTER 1/1/17</t>
  </si>
  <si>
    <t xml:space="preserve">FROM TAX YEARS BEGINNING ON OR AFTER 1/1/17 UTILIZED IN </t>
  </si>
  <si>
    <t>PRE-APPORTIONED LOSSES</t>
  </si>
  <si>
    <t>Per Previous municipal Income Tax Returns (schedule must be submitted). See instructions</t>
  </si>
  <si>
    <t>NOL Carryovers</t>
  </si>
  <si>
    <t>Taxable Income Before NOL</t>
  </si>
  <si>
    <t>Municipal NOL for TYs prior to 2017</t>
  </si>
  <si>
    <t>PRE-APPORTIONED LOSSES FOR TAX YEARS BEGINNING ON OR AFTER 1/1/17</t>
  </si>
  <si>
    <t>(subject to 50%). Check this box if utilizing a NOL prior to 1/1/17 first. See instructions</t>
  </si>
  <si>
    <t>NOTE: Municipal Carryover calculations below apply to post apportioned losses for TYs beginning prior to 1/1/17</t>
  </si>
  <si>
    <t>Taxable Income after NOL for TYs prior to 2017 (applied if Utilize box is checked)</t>
  </si>
  <si>
    <t>Municipal NOL for TY beginning on or afer 1/1/17</t>
  </si>
  <si>
    <t>Total Unutilized NOL</t>
  </si>
  <si>
    <t>Utilized on this return</t>
  </si>
  <si>
    <t>Net Operating Loss Carryovers (Pre-Apportioned)</t>
  </si>
  <si>
    <t>POST APPORTIONED LOSSES FOR TYs BEGINNING PRIOR TO 1/1/17</t>
  </si>
  <si>
    <t>PRE-APPORTIONED LOSSES FROM TYs BEGINNING ON OR AFTER 1/1/17</t>
  </si>
  <si>
    <t>1) AFTI</t>
  </si>
  <si>
    <t>2) Apportionment %</t>
  </si>
  <si>
    <t>3) AFTI * App%</t>
  </si>
  <si>
    <t>4) Post Apportioned Loss Utilized</t>
  </si>
  <si>
    <t>5) Calculate 3) minus 4)</t>
  </si>
  <si>
    <t>6) Divide 5) by 2)</t>
  </si>
  <si>
    <t>7) Pre-apportioned NOL from Form 27 3B(i)</t>
  </si>
  <si>
    <t>8) 50% of the lesser of 6) or 7)</t>
  </si>
  <si>
    <t>9) 6) minus 8) (cannot be less then 0)</t>
  </si>
  <si>
    <t>10) 9) multiplied by 2)</t>
  </si>
  <si>
    <t>11) Rate from Cities Table</t>
  </si>
  <si>
    <t>12) 10) multiplied by 11) (0 if $10 or less enter 0 on Sched B)</t>
  </si>
  <si>
    <t>POST APPORTIONED LOSSES FOR TYs BEGINNING BEFORE 1/1/17</t>
  </si>
  <si>
    <t>(Calculated)</t>
  </si>
  <si>
    <t>Local Tax Calc applicable if "Utilizing NOL incurred prior to 1/1/17 first" checked</t>
  </si>
  <si>
    <t>Local Tax Calc applicable if "Utilizing NOL incurred prior to 1/1/17 first" is not checked</t>
  </si>
  <si>
    <t>Taxable Income after NOL</t>
  </si>
  <si>
    <t>Utilized</t>
  </si>
  <si>
    <t>Totals</t>
  </si>
  <si>
    <t>Pre-apportioned NOL</t>
  </si>
  <si>
    <t>Post-apportioned NOL applied</t>
  </si>
  <si>
    <t>Total Unused Pre-apportioned NOL</t>
  </si>
  <si>
    <t>Total Unused Post-apportioned NOL</t>
  </si>
  <si>
    <t>Local Tax Calc Worksheet applicable if "Utilizing NOL incurred prior to 1/1/17 first" is checked</t>
  </si>
  <si>
    <t>1) AFTI (Form 27, Line 3A)</t>
  </si>
  <si>
    <t>2) AFTI Allocation % (From Schedule Y, Part II, Column J)</t>
  </si>
  <si>
    <t>3)  Col 1 Multiplied by Col 2</t>
  </si>
  <si>
    <t>4) Post Apportioned Loss Utilized (from table above)</t>
  </si>
  <si>
    <t>5) Col 3 minus Col 4</t>
  </si>
  <si>
    <t>6) Divide Col 5 by Col 2</t>
  </si>
  <si>
    <t>7) Pre-apportioned NOL from Form 27, Line 3B(i)</t>
  </si>
  <si>
    <t>8) 50% of the lesser of Col 6 and Col 7</t>
  </si>
  <si>
    <t>9) Col 6 minus Col 8 (cannot be less then 0)</t>
  </si>
  <si>
    <t>10) Col 9 multiplied by Col 2</t>
  </si>
  <si>
    <t>11) Municipal Tax Rate</t>
  </si>
  <si>
    <t>12) Col 10 multiplied by Col 11 (if $10 or less enter 0 on Sched B)</t>
  </si>
  <si>
    <t>Total Allocation %</t>
  </si>
  <si>
    <t>Total Utilized Post-Apportioned NOL</t>
  </si>
  <si>
    <t>Total Amt Allocatable to RITA</t>
  </si>
  <si>
    <t>Total Tax</t>
  </si>
  <si>
    <t>2) AFTI Allocation %</t>
  </si>
  <si>
    <t>Local Tax Calc Worksheet applicable if "Utilizing NOL incurred prior to 1/1/17 first" is not checked</t>
  </si>
  <si>
    <t>Tot Utilized Post-App NOL</t>
  </si>
  <si>
    <t>Tot Amt Alloc To RITA</t>
  </si>
  <si>
    <t>1) Income Subject to Apportion-ment - Form 27, Line 3B(iii)</t>
  </si>
  <si>
    <t>3) Col 1 Multiplied by Col 2</t>
  </si>
  <si>
    <t>6) Municipal Tax Rate</t>
  </si>
  <si>
    <t>7) Col 5 multiplied by Col 6 (0 if $10 or less enter 0 on Sched B)</t>
  </si>
  <si>
    <t>Taxable Income after NOL calculation</t>
  </si>
  <si>
    <t>Totals (including Overflow sheets)</t>
  </si>
  <si>
    <t>2) AFTI Allocation % (From Schedule Y Extended, Column M)</t>
  </si>
  <si>
    <t>1) Income Subject to Apportionment - Form 27, Line 3B(iii)</t>
  </si>
  <si>
    <t>Overflow Local Tax Calc Worksheet applicable if "Utilizing NOL incurred prior to 1/1/17 first" is checked</t>
  </si>
  <si>
    <t>Overflow Local Tax Calc Worksheet applicable if "Utilizing NOL incurred prior to 1/1/17 first" is not checked</t>
  </si>
  <si>
    <t>Overflow (2) Local Tax Calc Worksheet applicable if "Utilizing NOL incurred prior to 1/1/17 first" is checked</t>
  </si>
  <si>
    <t>Overflow (2) Local Tax Calc Worksheet applicable if "Utilizing NOL incurred prior to 1/1/17 first" is not checked</t>
  </si>
  <si>
    <t>Overflow (3) Local Tax Calc Worksheet applicable if "Utilizing NOL incurred prior to 1/1/17 first" is checked</t>
  </si>
  <si>
    <t>Overflow (3) Local Tax Calc Worksheet applicable if "Utilizing NOL incurred prior to 1/1/17 first" is not checked</t>
  </si>
  <si>
    <t>Overflow (4) Local Tax Calc Worksheet applicable if "Utilizing NOL incurred prior to 1/1/17 first" is checked</t>
  </si>
  <si>
    <t>Overflow (4) Local Tax Calc Worksheet applicable if "Utilizing NOL incurred prior to 1/1/17 first" is not checked</t>
  </si>
  <si>
    <t>Overflow (5) Local Tax Calc Worksheet applicable if "Utilizing NOL incurred prior to 1/1/17 first" is checked</t>
  </si>
  <si>
    <t>Overflow (5) Local Tax Calc Worksheet applicable if "Utilizing NOL incurred prior to 1/1/17 first" is not checked</t>
  </si>
  <si>
    <t>Overflow (6) Local Tax Calc Worksheet applicable if "Utilizing NOL incurred prior to 1/1/17 first" is checked</t>
  </si>
  <si>
    <t>Overflow (6) Local Tax Calc Worksheet applicable if "Utilizing NOL incurred prior to 1/1/17 first" is not checked</t>
  </si>
  <si>
    <t>Overflow (7) Local Tax Calc Worksheet applicable if "Utilizing NOL incurred prior to 1/1/17 first" is checked</t>
  </si>
  <si>
    <t>Overflow (7)  Local Tax Calc Worksheet applicable if "Utilizing NOL incurred prior to 1/1/17 first" is not checked</t>
  </si>
  <si>
    <t>Overflow (8) Local Tax Calc Worksheet applicable if "Utilizing NOL incurred prior to 1/1/17 first" is checked</t>
  </si>
  <si>
    <t>Overflow (8) Local Tax Calc Worksheet applicable if "Utilizing NOL incurred prior to 1/1/17 first" is not checked</t>
  </si>
  <si>
    <t>Modified Local Tax calculation to incorporate new NOL rules</t>
  </si>
  <si>
    <t>Added Overflow (4) -&gt; Overflow (8) to allow calculations for all RITA cities</t>
  </si>
  <si>
    <t>Created Muni Worksheet, Fed Worksheet and Overflow Worksheet to show Local Tax calc steps</t>
  </si>
  <si>
    <t>Last Year of 0% tax rate</t>
  </si>
  <si>
    <t>Zero tax rate warning</t>
  </si>
  <si>
    <t>1) 3B(iii)</t>
  </si>
  <si>
    <t>Bloomville</t>
  </si>
  <si>
    <t>Carrollton</t>
  </si>
  <si>
    <t>Cuyahoga Falls</t>
  </si>
  <si>
    <t>Greenfield</t>
  </si>
  <si>
    <t>Liberty Center</t>
  </si>
  <si>
    <t>Wayne Lakes</t>
  </si>
  <si>
    <t>Whitehouse</t>
  </si>
  <si>
    <t>Muni</t>
  </si>
  <si>
    <t>Rate Used</t>
  </si>
  <si>
    <t>Tax shown</t>
  </si>
  <si>
    <t>Income</t>
  </si>
  <si>
    <t>Current Tax</t>
  </si>
  <si>
    <t>Difference</t>
  </si>
  <si>
    <t>Brooklyn Hts</t>
  </si>
  <si>
    <t>Notes</t>
  </si>
  <si>
    <t>Tp used incorrect rate on original return. This should have been corrected with review as we noticed this error and an auditor was directed to correct this.</t>
  </si>
  <si>
    <t>Less than $10</t>
  </si>
  <si>
    <t>Rate Change</t>
  </si>
  <si>
    <t>New- Tp used incorrect rate on original return. This should have been corrected with review as we noticed this error and an auditor was directed to correct this. &amp; This s/b zero under new HB rule for less than $10.</t>
  </si>
  <si>
    <t>Effective Rate for 2018</t>
  </si>
  <si>
    <t>Max NOL for TYs starting on 1/1/17 or later from Overflows 1 to 8</t>
  </si>
  <si>
    <r>
      <t>Totals (</t>
    </r>
    <r>
      <rPr>
        <sz val="12"/>
        <color theme="5"/>
        <rFont val="Arial"/>
        <family val="2"/>
      </rPr>
      <t>Max for Col F</t>
    </r>
    <r>
      <rPr>
        <sz val="12"/>
        <rFont val="Arial"/>
        <family val="2"/>
      </rPr>
      <t>)</t>
    </r>
  </si>
  <si>
    <r>
      <t>Totals (</t>
    </r>
    <r>
      <rPr>
        <sz val="8"/>
        <color theme="5"/>
        <rFont val="Arial"/>
        <family val="2"/>
      </rPr>
      <t>Max for Col J</t>
    </r>
    <r>
      <rPr>
        <sz val="8"/>
        <rFont val="Arial"/>
        <family val="2"/>
      </rPr>
      <t>)</t>
    </r>
  </si>
  <si>
    <t>Sum of Col J-&gt;</t>
  </si>
  <si>
    <t>Sum of Col J on Overflows Worksheet (value goes to Print Return 3B(iii))</t>
  </si>
  <si>
    <t xml:space="preserve">NOTE: The amount displayed to the left is entered on Print Return box 3B(iii) if the box to utilize a NOL prior to 1/1/17 first is checked. </t>
  </si>
  <si>
    <t>o</t>
  </si>
  <si>
    <t>INCOME/LOSS SUBJECT TO APPORTIONMENT</t>
  </si>
  <si>
    <t>8) 50% of the lesser of Col 6 and Col 7
NOTE: Do not enter amounts from a RITA Municipality on the NOL-Phase-In exceptions list</t>
  </si>
  <si>
    <t>9) Col 6 minus Col 8 (cannot be less then 0). If Row 8 is blank, enter the difference of Row 6 less Row 7</t>
  </si>
  <si>
    <t>With Refund</t>
  </si>
  <si>
    <t>PO BOX 94652</t>
  </si>
  <si>
    <t>CLEVELAND  OH  44101-4652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</si>
</sst>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6" formatCode="&quot;$&quot;#,##0_);[Red]\(&quot;$&quot;#,##0\)"/>
    <numFmt numFmtId="43" formatCode="_(* #,##0.00_);_(* \(#,##0.00\);_(* &quot;-&quot;??_);_(@_)"/>
    <numFmt numFmtId="164" formatCode="0."/>
    <numFmt numFmtId="165" formatCode="0.000%"/>
    <numFmt numFmtId="166" formatCode="00\-0000000"/>
    <numFmt numFmtId="167" formatCode="mm/dd/yy;@"/>
    <numFmt numFmtId="168" formatCode="000"/>
    <numFmt numFmtId="169" formatCode="0.0000%"/>
    <numFmt numFmtId="170" formatCode="[&lt;=9999999]###\-####;\(###\)\ ###\-####"/>
    <numFmt numFmtId="171" formatCode="000\-00\-0000"/>
    <numFmt numFmtId="172" formatCode="00000"/>
    <numFmt numFmtId="173" formatCode="&quot;$&quot;#,##0"/>
  </numFmts>
  <fonts count="91" x14ac:knownFonts="1">
    <font>
      <sz val="10"/>
      <name val="Arial"/>
    </font>
    <font>
      <sz val="10"/>
      <name val="Arial"/>
      <family val="2"/>
    </font>
    <font>
      <sz val="8"/>
      <name val="Arial"/>
      <family val="2"/>
    </font>
    <font>
      <b/>
      <sz val="8"/>
      <name val="Arial"/>
      <family val="2"/>
    </font>
    <font>
      <sz val="12"/>
      <name val="Arial"/>
      <family val="2"/>
    </font>
    <font>
      <b/>
      <sz val="12"/>
      <name val="Arial"/>
      <family val="2"/>
    </font>
    <font>
      <b/>
      <sz val="10"/>
      <name val="Arial"/>
      <family val="2"/>
    </font>
    <font>
      <sz val="6"/>
      <name val="Arial"/>
      <family val="2"/>
    </font>
    <font>
      <b/>
      <sz val="14"/>
      <name val="Arial"/>
      <family val="2"/>
    </font>
    <font>
      <sz val="8"/>
      <name val="Arial"/>
      <family val="2"/>
    </font>
    <font>
      <sz val="7"/>
      <name val="Arial"/>
      <family val="2"/>
    </font>
    <font>
      <sz val="7"/>
      <name val="Arial"/>
      <family val="2"/>
    </font>
    <font>
      <b/>
      <sz val="7"/>
      <name val="Arial"/>
      <family val="2"/>
    </font>
    <font>
      <sz val="10"/>
      <name val="Arial"/>
      <family val="2"/>
    </font>
    <font>
      <b/>
      <sz val="8"/>
      <name val="Arial"/>
      <family val="2"/>
    </font>
    <font>
      <sz val="14"/>
      <name val="Arial"/>
      <family val="2"/>
    </font>
    <font>
      <b/>
      <sz val="10"/>
      <name val="Arial"/>
      <family val="2"/>
    </font>
    <font>
      <sz val="10"/>
      <name val="Arial"/>
      <family val="2"/>
    </font>
    <font>
      <b/>
      <sz val="10"/>
      <color indexed="9"/>
      <name val="Arial"/>
      <family val="2"/>
    </font>
    <font>
      <sz val="16"/>
      <name val="Arial"/>
      <family val="2"/>
    </font>
    <font>
      <b/>
      <sz val="16"/>
      <name val="Arial"/>
      <family val="2"/>
    </font>
    <font>
      <sz val="9"/>
      <name val="Arial"/>
      <family val="2"/>
    </font>
    <font>
      <sz val="6"/>
      <name val="Arial"/>
      <family val="2"/>
    </font>
    <font>
      <sz val="4"/>
      <name val="Arial"/>
      <family val="2"/>
    </font>
    <font>
      <i/>
      <sz val="8"/>
      <name val="Arial"/>
      <family val="2"/>
    </font>
    <font>
      <b/>
      <sz val="18"/>
      <name val="Arial"/>
      <family val="2"/>
    </font>
    <font>
      <sz val="8"/>
      <name val="Wingdings 2"/>
      <family val="1"/>
      <charset val="2"/>
    </font>
    <font>
      <sz val="7"/>
      <name val="Wingdings"/>
      <charset val="2"/>
    </font>
    <font>
      <b/>
      <sz val="24"/>
      <name val="Arial"/>
      <family val="2"/>
    </font>
    <font>
      <sz val="18"/>
      <name val="Arial"/>
      <family val="2"/>
    </font>
    <font>
      <b/>
      <sz val="12"/>
      <color indexed="9"/>
      <name val="Arial"/>
      <family val="2"/>
    </font>
    <font>
      <i/>
      <sz val="10"/>
      <name val="Arial"/>
      <family val="2"/>
    </font>
    <font>
      <b/>
      <i/>
      <sz val="10"/>
      <name val="Arial"/>
      <family val="2"/>
    </font>
    <font>
      <sz val="8"/>
      <color indexed="9"/>
      <name val="Arial"/>
      <family val="2"/>
    </font>
    <font>
      <u/>
      <sz val="8"/>
      <name val="Arial"/>
      <family val="2"/>
    </font>
    <font>
      <sz val="8.5"/>
      <name val="Arial"/>
      <family val="2"/>
    </font>
    <font>
      <b/>
      <sz val="8.5"/>
      <name val="Arial"/>
      <family val="2"/>
    </font>
    <font>
      <sz val="7.5"/>
      <name val="Arial"/>
      <family val="2"/>
    </font>
    <font>
      <sz val="10"/>
      <color indexed="13"/>
      <name val="Arial"/>
      <family val="2"/>
    </font>
    <font>
      <sz val="10"/>
      <color indexed="10"/>
      <name val="Arial"/>
      <family val="2"/>
    </font>
    <font>
      <sz val="7"/>
      <color indexed="22"/>
      <name val="Arial"/>
      <family val="2"/>
    </font>
    <font>
      <sz val="8"/>
      <color indexed="22"/>
      <name val="Arial"/>
      <family val="2"/>
    </font>
    <font>
      <b/>
      <sz val="10"/>
      <name val="Courier"/>
      <family val="3"/>
    </font>
    <font>
      <sz val="22"/>
      <name val="Arial"/>
      <family val="2"/>
    </font>
    <font>
      <sz val="8"/>
      <color indexed="55"/>
      <name val="Arial"/>
      <family val="2"/>
    </font>
    <font>
      <sz val="8"/>
      <color indexed="55"/>
      <name val="Arial"/>
      <family val="2"/>
    </font>
    <font>
      <b/>
      <sz val="12"/>
      <name val="Arial"/>
      <family val="2"/>
    </font>
    <font>
      <sz val="10"/>
      <name val="Webdings"/>
      <family val="1"/>
      <charset val="2"/>
    </font>
    <font>
      <sz val="10"/>
      <color indexed="55"/>
      <name val="Arial"/>
      <family val="2"/>
    </font>
    <font>
      <b/>
      <sz val="6"/>
      <name val="Arial"/>
      <family val="2"/>
    </font>
    <font>
      <sz val="10"/>
      <name val="Wingdings 3"/>
      <family val="1"/>
      <charset val="2"/>
    </font>
    <font>
      <sz val="7"/>
      <color indexed="10"/>
      <name val="Arial"/>
      <family val="2"/>
    </font>
    <font>
      <sz val="8.5"/>
      <name val="Arial"/>
      <family val="2"/>
    </font>
    <font>
      <b/>
      <i/>
      <sz val="8"/>
      <name val="Arial"/>
      <family val="2"/>
    </font>
    <font>
      <b/>
      <sz val="12"/>
      <color indexed="10"/>
      <name val="Arial"/>
      <family val="2"/>
    </font>
    <font>
      <b/>
      <sz val="8"/>
      <color indexed="10"/>
      <name val="Arial"/>
      <family val="2"/>
    </font>
    <font>
      <sz val="10"/>
      <color indexed="9"/>
      <name val="Arial"/>
      <family val="2"/>
    </font>
    <font>
      <i/>
      <sz val="9"/>
      <name val="Arial"/>
      <family val="2"/>
    </font>
    <font>
      <b/>
      <sz val="9"/>
      <name val="Arial"/>
      <family val="2"/>
    </font>
    <font>
      <b/>
      <sz val="9"/>
      <name val="Arial"/>
      <family val="2"/>
    </font>
    <font>
      <sz val="9"/>
      <color indexed="10"/>
      <name val="Arial"/>
      <family val="2"/>
    </font>
    <font>
      <sz val="10"/>
      <name val="Arial"/>
      <family val="2"/>
    </font>
    <font>
      <sz val="12"/>
      <color indexed="9"/>
      <name val="Arial"/>
      <family val="2"/>
    </font>
    <font>
      <sz val="9"/>
      <name val="Arial"/>
      <family val="2"/>
    </font>
    <font>
      <sz val="6"/>
      <color indexed="55"/>
      <name val="Arial"/>
      <family val="2"/>
    </font>
    <font>
      <b/>
      <sz val="4"/>
      <name val="Arial"/>
      <family val="2"/>
    </font>
    <font>
      <sz val="4"/>
      <name val="Arial"/>
      <family val="2"/>
    </font>
    <font>
      <b/>
      <sz val="6"/>
      <name val="Arial"/>
      <family val="2"/>
    </font>
    <font>
      <sz val="7"/>
      <color indexed="10"/>
      <name val="Arial"/>
      <family val="2"/>
    </font>
    <font>
      <b/>
      <sz val="7"/>
      <name val="Arial"/>
      <family val="2"/>
    </font>
    <font>
      <b/>
      <sz val="28"/>
      <name val="Arial"/>
      <family val="2"/>
    </font>
    <font>
      <sz val="2"/>
      <name val="Arial"/>
      <family val="2"/>
    </font>
    <font>
      <b/>
      <sz val="2"/>
      <name val="Arial"/>
      <family val="2"/>
    </font>
    <font>
      <sz val="10"/>
      <color indexed="57"/>
      <name val="Arial"/>
      <family val="2"/>
    </font>
    <font>
      <sz val="10"/>
      <color indexed="51"/>
      <name val="Arial"/>
      <family val="2"/>
    </font>
    <font>
      <sz val="10"/>
      <name val="Calibri"/>
      <family val="2"/>
    </font>
    <font>
      <b/>
      <sz val="12"/>
      <color rgb="FFFF0000"/>
      <name val="Arial"/>
      <family val="2"/>
    </font>
    <font>
      <sz val="8"/>
      <color rgb="FF000000"/>
      <name val="Tahoma"/>
      <family val="2"/>
    </font>
    <font>
      <sz val="10"/>
      <color theme="0"/>
      <name val="Arial"/>
      <family val="2"/>
    </font>
    <font>
      <sz val="8"/>
      <color theme="0"/>
      <name val="Arial"/>
      <family val="2"/>
    </font>
    <font>
      <sz val="6"/>
      <color theme="0"/>
      <name val="Arial"/>
      <family val="2"/>
    </font>
    <font>
      <sz val="7"/>
      <color theme="0"/>
      <name val="Arial"/>
      <family val="2"/>
    </font>
    <font>
      <sz val="4"/>
      <color theme="0"/>
      <name val="Arial"/>
      <family val="2"/>
    </font>
    <font>
      <sz val="16"/>
      <color theme="0"/>
      <name val="Arial"/>
      <family val="2"/>
    </font>
    <font>
      <sz val="2"/>
      <color theme="0"/>
      <name val="Arial"/>
      <family val="2"/>
    </font>
    <font>
      <b/>
      <sz val="8"/>
      <color rgb="FFFF0000"/>
      <name val="Arial"/>
      <family val="2"/>
    </font>
    <font>
      <sz val="8"/>
      <color rgb="FFFF0000"/>
      <name val="Arial"/>
      <family val="2"/>
    </font>
    <font>
      <b/>
      <sz val="11"/>
      <name val="Arial"/>
      <family val="2"/>
    </font>
    <font>
      <sz val="12"/>
      <color theme="5"/>
      <name val="Arial"/>
      <family val="2"/>
    </font>
    <font>
      <sz val="8"/>
      <color theme="5"/>
      <name val="Arial"/>
      <family val="2"/>
    </font>
    <font>
      <b/>
      <sz val="8"/>
      <color theme="0"/>
      <name val="Arial"/>
      <family val="2"/>
    </font>
  </fonts>
  <fills count="18">
    <fill>
      <patternFill patternType="none"/>
    </fill>
    <fill>
      <patternFill patternType="gray125"/>
    </fill>
    <fill>
      <patternFill patternType="solid">
        <fgColor indexed="41"/>
        <bgColor indexed="64"/>
      </patternFill>
    </fill>
    <fill>
      <patternFill patternType="solid">
        <fgColor indexed="10"/>
        <bgColor indexed="64"/>
      </patternFill>
    </fill>
    <fill>
      <patternFill patternType="solid">
        <fgColor indexed="13"/>
        <bgColor indexed="64"/>
      </patternFill>
    </fill>
    <fill>
      <patternFill patternType="solid">
        <fgColor indexed="8"/>
        <bgColor indexed="64"/>
      </patternFill>
    </fill>
    <fill>
      <patternFill patternType="lightUp"/>
    </fill>
    <fill>
      <patternFill patternType="solid">
        <fgColor indexed="47"/>
        <bgColor indexed="64"/>
      </patternFill>
    </fill>
    <fill>
      <patternFill patternType="solid">
        <fgColor indexed="42"/>
        <bgColor indexed="64"/>
      </patternFill>
    </fill>
    <fill>
      <patternFill patternType="solid">
        <fgColor indexed="43"/>
        <bgColor indexed="64"/>
      </patternFill>
    </fill>
    <fill>
      <patternFill patternType="solid">
        <fgColor indexed="9"/>
        <bgColor indexed="64"/>
      </patternFill>
    </fill>
    <fill>
      <patternFill patternType="solid">
        <fgColor theme="9" tint="0.79998168889431442"/>
        <bgColor indexed="64"/>
      </patternFill>
    </fill>
    <fill>
      <patternFill patternType="solid">
        <fgColor rgb="FF92D050"/>
        <bgColor indexed="64"/>
      </patternFill>
    </fill>
    <fill>
      <patternFill patternType="solid">
        <fgColor theme="4" tint="0.79998168889431442"/>
        <bgColor indexed="64"/>
      </patternFill>
    </fill>
    <fill>
      <patternFill patternType="solid">
        <fgColor theme="0"/>
        <bgColor indexed="64"/>
      </patternFill>
    </fill>
    <fill>
      <patternFill patternType="solid">
        <fgColor theme="9"/>
        <bgColor indexed="64"/>
      </patternFill>
    </fill>
    <fill>
      <patternFill patternType="solid">
        <fgColor rgb="FFCCFFFF"/>
        <bgColor indexed="64"/>
      </patternFill>
    </fill>
    <fill>
      <patternFill patternType="solid">
        <fgColor rgb="FFFFFF00"/>
        <bgColor indexed="64"/>
      </patternFill>
    </fill>
  </fills>
  <borders count="98">
    <border>
      <left/>
      <right/>
      <top/>
      <bottom/>
      <diagonal/>
    </border>
    <border>
      <left style="thin">
        <color indexed="22"/>
      </left>
      <right style="thin">
        <color indexed="22"/>
      </right>
      <top style="thin">
        <color indexed="22"/>
      </top>
      <bottom style="thin">
        <color indexed="22"/>
      </bottom>
      <diagonal/>
    </border>
    <border>
      <left/>
      <right/>
      <top style="thin">
        <color indexed="64"/>
      </top>
      <bottom style="double">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top style="thin">
        <color indexed="64"/>
      </top>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diagonal/>
    </border>
    <border>
      <left style="thin">
        <color indexed="22"/>
      </left>
      <right style="thin">
        <color indexed="64"/>
      </right>
      <top style="thin">
        <color indexed="64"/>
      </top>
      <bottom style="thin">
        <color indexed="64"/>
      </bottom>
      <diagonal/>
    </border>
    <border>
      <left style="thin">
        <color indexed="22"/>
      </left>
      <right style="thin">
        <color indexed="22"/>
      </right>
      <top style="thin">
        <color indexed="64"/>
      </top>
      <bottom style="thin">
        <color indexed="64"/>
      </bottom>
      <diagonal/>
    </border>
    <border>
      <left style="thin">
        <color indexed="64"/>
      </left>
      <right style="thin">
        <color indexed="22"/>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22"/>
      </left>
      <right style="thin">
        <color indexed="22"/>
      </right>
      <top/>
      <bottom style="thin">
        <color indexed="22"/>
      </bottom>
      <diagonal/>
    </border>
    <border>
      <left style="thin">
        <color indexed="64"/>
      </left>
      <right/>
      <top/>
      <bottom style="medium">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thin">
        <color indexed="22"/>
      </left>
      <right/>
      <top style="thin">
        <color indexed="22"/>
      </top>
      <bottom style="thin">
        <color indexed="22"/>
      </bottom>
      <diagonal/>
    </border>
    <border>
      <left style="medium">
        <color indexed="64"/>
      </left>
      <right style="thin">
        <color indexed="64"/>
      </right>
      <top/>
      <bottom style="thin">
        <color indexed="22"/>
      </bottom>
      <diagonal/>
    </border>
    <border>
      <left style="medium">
        <color indexed="64"/>
      </left>
      <right style="thin">
        <color indexed="64"/>
      </right>
      <top style="thin">
        <color indexed="22"/>
      </top>
      <bottom style="thin">
        <color indexed="22"/>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thin">
        <color indexed="22"/>
      </left>
      <right style="thin">
        <color indexed="64"/>
      </right>
      <top style="thin">
        <color indexed="64"/>
      </top>
      <bottom style="thin">
        <color indexed="22"/>
      </bottom>
      <diagonal/>
    </border>
    <border>
      <left style="thin">
        <color indexed="22"/>
      </left>
      <right style="thin">
        <color indexed="64"/>
      </right>
      <top style="thin">
        <color indexed="22"/>
      </top>
      <bottom style="thin">
        <color indexed="64"/>
      </bottom>
      <diagonal/>
    </border>
    <border>
      <left style="thin">
        <color indexed="22"/>
      </left>
      <right style="thin">
        <color indexed="64"/>
      </right>
      <top/>
      <bottom style="thin">
        <color indexed="64"/>
      </bottom>
      <diagonal/>
    </border>
    <border>
      <left style="thin">
        <color indexed="22"/>
      </left>
      <right/>
      <top style="thin">
        <color indexed="22"/>
      </top>
      <bottom/>
      <diagonal/>
    </border>
    <border>
      <left/>
      <right/>
      <top style="thin">
        <color indexed="22"/>
      </top>
      <bottom/>
      <diagonal/>
    </border>
    <border>
      <left/>
      <right style="thin">
        <color indexed="22"/>
      </right>
      <top style="thin">
        <color indexed="22"/>
      </top>
      <bottom/>
      <diagonal/>
    </border>
    <border>
      <left style="thin">
        <color indexed="22"/>
      </left>
      <right/>
      <top/>
      <bottom/>
      <diagonal/>
    </border>
    <border>
      <left/>
      <right style="thin">
        <color indexed="22"/>
      </right>
      <top/>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22"/>
      </top>
      <bottom style="thin">
        <color indexed="22"/>
      </bottom>
      <diagonal/>
    </border>
    <border>
      <left/>
      <right style="thin">
        <color indexed="22"/>
      </right>
      <top style="thin">
        <color indexed="22"/>
      </top>
      <bottom style="thin">
        <color indexed="22"/>
      </bottom>
      <diagonal/>
    </border>
    <border>
      <left style="thin">
        <color indexed="22"/>
      </left>
      <right/>
      <top/>
      <bottom style="thin">
        <color indexed="22"/>
      </bottom>
      <diagonal/>
    </border>
    <border>
      <left/>
      <right/>
      <top/>
      <bottom style="thin">
        <color indexed="22"/>
      </bottom>
      <diagonal/>
    </border>
    <border>
      <left/>
      <right style="thin">
        <color indexed="22"/>
      </right>
      <top/>
      <bottom style="thin">
        <color indexed="22"/>
      </bottom>
      <diagonal/>
    </border>
    <border>
      <left/>
      <right style="thin">
        <color indexed="64"/>
      </right>
      <top style="thin">
        <color indexed="64"/>
      </top>
      <bottom style="medium">
        <color indexed="64"/>
      </bottom>
      <diagonal/>
    </border>
    <border>
      <left style="thin">
        <color indexed="64"/>
      </left>
      <right/>
      <top style="thin">
        <color indexed="64"/>
      </top>
      <bottom style="thin">
        <color indexed="22"/>
      </bottom>
      <diagonal/>
    </border>
    <border>
      <left/>
      <right style="thin">
        <color indexed="22"/>
      </right>
      <top style="thin">
        <color indexed="64"/>
      </top>
      <bottom style="thin">
        <color indexed="22"/>
      </bottom>
      <diagonal/>
    </border>
    <border>
      <left style="thin">
        <color indexed="64"/>
      </left>
      <right/>
      <top style="thin">
        <color indexed="22"/>
      </top>
      <bottom style="thin">
        <color indexed="22"/>
      </bottom>
      <diagonal/>
    </border>
    <border>
      <left style="thin">
        <color indexed="64"/>
      </left>
      <right style="thin">
        <color indexed="22"/>
      </right>
      <top style="thin">
        <color indexed="22"/>
      </top>
      <bottom style="thin">
        <color indexed="64"/>
      </bottom>
      <diagonal/>
    </border>
    <border>
      <left style="thin">
        <color indexed="22"/>
      </left>
      <right style="thin">
        <color indexed="22"/>
      </right>
      <top style="thin">
        <color indexed="22"/>
      </top>
      <bottom style="thin">
        <color indexed="64"/>
      </bottom>
      <diagonal/>
    </border>
    <border>
      <left/>
      <right style="thin">
        <color indexed="22"/>
      </right>
      <top style="thin">
        <color indexed="64"/>
      </top>
      <bottom style="thin">
        <color indexed="64"/>
      </bottom>
      <diagonal/>
    </border>
    <border>
      <left/>
      <right style="medium">
        <color indexed="64"/>
      </right>
      <top/>
      <bottom style="thin">
        <color indexed="22"/>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22"/>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4">
    <xf numFmtId="0" fontId="0" fillId="0" borderId="0"/>
    <xf numFmtId="43" fontId="1" fillId="0" borderId="0" applyFont="0" applyFill="0" applyBorder="0" applyAlignment="0" applyProtection="0"/>
    <xf numFmtId="0" fontId="13" fillId="0" borderId="0"/>
    <xf numFmtId="9" fontId="1" fillId="0" borderId="0" applyFont="0" applyFill="0" applyBorder="0" applyAlignment="0" applyProtection="0"/>
  </cellStyleXfs>
  <cellXfs count="1611">
    <xf numFmtId="0" fontId="0" fillId="0" borderId="0" xfId="0"/>
    <xf numFmtId="0" fontId="2" fillId="0" borderId="0" xfId="0" applyFont="1"/>
    <xf numFmtId="0" fontId="0" fillId="2" borderId="0" xfId="0" applyFill="1"/>
    <xf numFmtId="0" fontId="0" fillId="0" borderId="0" xfId="0" applyFill="1"/>
    <xf numFmtId="0" fontId="3" fillId="0" borderId="0" xfId="0" applyFont="1"/>
    <xf numFmtId="0" fontId="3" fillId="0" borderId="0" xfId="0" applyFont="1" applyAlignment="1">
      <alignment horizontal="right"/>
    </xf>
    <xf numFmtId="0" fontId="4" fillId="0" borderId="0" xfId="0" applyFont="1"/>
    <xf numFmtId="0" fontId="7" fillId="0" borderId="0" xfId="0" applyFont="1"/>
    <xf numFmtId="0" fontId="7" fillId="0" borderId="0" xfId="0" applyFont="1" applyAlignment="1">
      <alignment horizontal="right"/>
    </xf>
    <xf numFmtId="0" fontId="6" fillId="0" borderId="0" xfId="0" applyFont="1" applyAlignment="1">
      <alignment horizontal="center"/>
    </xf>
    <xf numFmtId="0" fontId="9" fillId="0" borderId="0" xfId="0" applyFont="1"/>
    <xf numFmtId="0" fontId="6" fillId="0" borderId="0" xfId="0" applyFont="1"/>
    <xf numFmtId="0" fontId="13" fillId="0" borderId="0" xfId="0" applyFont="1"/>
    <xf numFmtId="0" fontId="5" fillId="0" borderId="0" xfId="0" applyFont="1"/>
    <xf numFmtId="0" fontId="0" fillId="0" borderId="2" xfId="0" applyBorder="1"/>
    <xf numFmtId="0" fontId="0" fillId="0" borderId="0" xfId="0" quotePrefix="1"/>
    <xf numFmtId="0" fontId="0" fillId="0" borderId="0" xfId="0" applyBorder="1"/>
    <xf numFmtId="0" fontId="3" fillId="0" borderId="3" xfId="0" applyFont="1" applyBorder="1" applyAlignment="1">
      <alignment horizontal="center"/>
    </xf>
    <xf numFmtId="0" fontId="7" fillId="0" borderId="0" xfId="0" quotePrefix="1" applyFont="1"/>
    <xf numFmtId="0" fontId="0" fillId="0" borderId="0" xfId="0" applyAlignment="1">
      <alignment horizontal="left"/>
    </xf>
    <xf numFmtId="0" fontId="15" fillId="0" borderId="0" xfId="0" applyFont="1"/>
    <xf numFmtId="0" fontId="3" fillId="0" borderId="4" xfId="0" applyFont="1" applyBorder="1" applyAlignment="1">
      <alignment horizontal="center"/>
    </xf>
    <xf numFmtId="0" fontId="3" fillId="0" borderId="5" xfId="0" applyFont="1" applyBorder="1" applyAlignment="1">
      <alignment horizontal="center"/>
    </xf>
    <xf numFmtId="0" fontId="13" fillId="0" borderId="0" xfId="0" applyFont="1" applyAlignment="1">
      <alignment horizontal="left"/>
    </xf>
    <xf numFmtId="0" fontId="0" fillId="0" borderId="6" xfId="0" applyBorder="1"/>
    <xf numFmtId="0" fontId="0" fillId="0" borderId="7" xfId="0" applyBorder="1"/>
    <xf numFmtId="0" fontId="5" fillId="0" borderId="0" xfId="0" applyFont="1" applyFill="1"/>
    <xf numFmtId="0" fontId="0" fillId="0" borderId="0" xfId="0" applyAlignment="1">
      <alignment horizontal="center"/>
    </xf>
    <xf numFmtId="0" fontId="1" fillId="0" borderId="0" xfId="0" applyFont="1" applyFill="1"/>
    <xf numFmtId="0" fontId="16" fillId="0" borderId="0" xfId="0" applyFont="1" applyFill="1"/>
    <xf numFmtId="14" fontId="16" fillId="0" borderId="0" xfId="0" applyNumberFormat="1" applyFont="1" applyFill="1"/>
    <xf numFmtId="0" fontId="17" fillId="0" borderId="0" xfId="0" applyFont="1"/>
    <xf numFmtId="0" fontId="0" fillId="3" borderId="0" xfId="0" applyFill="1"/>
    <xf numFmtId="0" fontId="0" fillId="4" borderId="0" xfId="0" applyFill="1" applyAlignment="1">
      <alignment horizontal="center"/>
    </xf>
    <xf numFmtId="0" fontId="0" fillId="0" borderId="8" xfId="0" quotePrefix="1" applyBorder="1"/>
    <xf numFmtId="0" fontId="6" fillId="0" borderId="8" xfId="0" applyNumberFormat="1" applyFont="1" applyBorder="1" applyAlignment="1">
      <alignment horizontal="center"/>
    </xf>
    <xf numFmtId="0" fontId="8" fillId="0" borderId="0" xfId="0" applyFont="1"/>
    <xf numFmtId="38" fontId="0" fillId="0" borderId="8" xfId="0" applyNumberFormat="1" applyBorder="1" applyAlignment="1">
      <alignment shrinkToFit="1"/>
    </xf>
    <xf numFmtId="164" fontId="3" fillId="0" borderId="8" xfId="0" applyNumberFormat="1" applyFont="1" applyBorder="1" applyAlignment="1">
      <alignment horizontal="right"/>
    </xf>
    <xf numFmtId="38" fontId="0" fillId="2" borderId="8" xfId="0" applyNumberFormat="1" applyFill="1" applyBorder="1" applyAlignment="1" applyProtection="1">
      <alignment shrinkToFit="1"/>
      <protection locked="0"/>
    </xf>
    <xf numFmtId="0" fontId="0" fillId="0" borderId="8" xfId="0" applyBorder="1" applyAlignment="1">
      <alignment shrinkToFit="1"/>
    </xf>
    <xf numFmtId="0" fontId="0" fillId="0" borderId="8" xfId="0" applyFill="1" applyBorder="1" applyAlignment="1">
      <alignment shrinkToFit="1"/>
    </xf>
    <xf numFmtId="164" fontId="3" fillId="0" borderId="5" xfId="0" applyNumberFormat="1" applyFont="1" applyBorder="1" applyAlignment="1">
      <alignment horizontal="right"/>
    </xf>
    <xf numFmtId="0" fontId="0" fillId="0" borderId="9" xfId="0" applyBorder="1"/>
    <xf numFmtId="0" fontId="18" fillId="5" borderId="9" xfId="0" applyFont="1" applyFill="1" applyBorder="1"/>
    <xf numFmtId="0" fontId="0" fillId="0" borderId="8" xfId="0" applyBorder="1" applyAlignment="1">
      <alignment vertical="top" shrinkToFit="1"/>
    </xf>
    <xf numFmtId="164" fontId="3" fillId="0" borderId="8" xfId="0" applyNumberFormat="1" applyFont="1" applyBorder="1"/>
    <xf numFmtId="0" fontId="9" fillId="0" borderId="8" xfId="0" applyFont="1" applyBorder="1" applyAlignment="1">
      <alignment shrinkToFit="1"/>
    </xf>
    <xf numFmtId="0" fontId="0" fillId="0" borderId="0" xfId="0" applyAlignment="1">
      <alignment horizontal="right"/>
    </xf>
    <xf numFmtId="164" fontId="3" fillId="0" borderId="0" xfId="0" applyNumberFormat="1" applyFont="1" applyAlignment="1">
      <alignment horizontal="right"/>
    </xf>
    <xf numFmtId="0" fontId="2" fillId="0" borderId="0" xfId="0" applyFont="1" applyAlignment="1">
      <alignment vertical="center"/>
    </xf>
    <xf numFmtId="0" fontId="0" fillId="0" borderId="0" xfId="0" applyAlignment="1">
      <alignment vertical="center"/>
    </xf>
    <xf numFmtId="0" fontId="12" fillId="0" borderId="0" xfId="0" applyFont="1" applyAlignment="1">
      <alignment vertical="center" wrapText="1"/>
    </xf>
    <xf numFmtId="0" fontId="6" fillId="0" borderId="4" xfId="0" applyFont="1" applyBorder="1" applyAlignment="1">
      <alignment horizontal="center"/>
    </xf>
    <xf numFmtId="0" fontId="7" fillId="0" borderId="0" xfId="0" applyFont="1" applyAlignment="1">
      <alignment horizontal="center"/>
    </xf>
    <xf numFmtId="167" fontId="0" fillId="2" borderId="8" xfId="0" applyNumberFormat="1" applyFill="1" applyBorder="1" applyAlignment="1" applyProtection="1">
      <alignment horizontal="center" shrinkToFit="1"/>
      <protection locked="0"/>
    </xf>
    <xf numFmtId="0" fontId="10" fillId="0" borderId="7" xfId="0" applyFont="1" applyBorder="1" applyAlignment="1">
      <alignment vertical="center" wrapText="1"/>
    </xf>
    <xf numFmtId="0" fontId="13" fillId="4" borderId="0" xfId="0" applyFont="1" applyFill="1"/>
    <xf numFmtId="0" fontId="13" fillId="0" borderId="0" xfId="0" applyFont="1" applyAlignment="1">
      <alignment horizontal="center"/>
    </xf>
    <xf numFmtId="0" fontId="0" fillId="0" borderId="0" xfId="0" applyFill="1" applyBorder="1"/>
    <xf numFmtId="0" fontId="2" fillId="0" borderId="10" xfId="0" applyFont="1" applyBorder="1"/>
    <xf numFmtId="0" fontId="2" fillId="0" borderId="0" xfId="0" applyFont="1" applyBorder="1"/>
    <xf numFmtId="164" fontId="3" fillId="0" borderId="8" xfId="0" applyNumberFormat="1" applyFont="1" applyBorder="1" applyAlignment="1" applyProtection="1">
      <alignment horizontal="right"/>
    </xf>
    <xf numFmtId="0" fontId="0" fillId="0" borderId="0" xfId="0" applyFill="1" applyBorder="1" applyAlignment="1">
      <alignment shrinkToFit="1"/>
    </xf>
    <xf numFmtId="0" fontId="0" fillId="0" borderId="0" xfId="0" applyFill="1" applyBorder="1" applyAlignment="1"/>
    <xf numFmtId="0" fontId="19" fillId="0" borderId="0" xfId="0" applyFont="1"/>
    <xf numFmtId="0" fontId="19" fillId="0" borderId="0" xfId="0" applyFont="1" applyBorder="1"/>
    <xf numFmtId="0" fontId="1" fillId="0" borderId="0" xfId="0" applyFont="1"/>
    <xf numFmtId="0" fontId="2" fillId="0" borderId="0" xfId="0" applyFont="1" applyAlignment="1">
      <alignment vertical="top"/>
    </xf>
    <xf numFmtId="0" fontId="16" fillId="0" borderId="4" xfId="0" applyFont="1" applyBorder="1" applyAlignment="1">
      <alignment horizontal="center"/>
    </xf>
    <xf numFmtId="0" fontId="16" fillId="0" borderId="5" xfId="0" applyFont="1" applyBorder="1" applyAlignment="1">
      <alignment horizontal="center"/>
    </xf>
    <xf numFmtId="0" fontId="3" fillId="0" borderId="0" xfId="0" applyFont="1" applyAlignment="1">
      <alignment horizontal="right" vertical="top"/>
    </xf>
    <xf numFmtId="0" fontId="3" fillId="0" borderId="0" xfId="0" applyFont="1" applyAlignment="1">
      <alignment horizontal="right" vertical="center"/>
    </xf>
    <xf numFmtId="0" fontId="22" fillId="0" borderId="0" xfId="0" applyFont="1"/>
    <xf numFmtId="0" fontId="3" fillId="0" borderId="0" xfId="0" applyFont="1" applyAlignment="1">
      <alignment vertical="center"/>
    </xf>
    <xf numFmtId="0" fontId="0" fillId="0" borderId="4" xfId="0" applyBorder="1"/>
    <xf numFmtId="0" fontId="2" fillId="0" borderId="5" xfId="0" applyFont="1" applyBorder="1" applyAlignment="1">
      <alignment wrapText="1"/>
    </xf>
    <xf numFmtId="0" fontId="2" fillId="0" borderId="0" xfId="0" applyFont="1" applyAlignment="1">
      <alignment wrapText="1"/>
    </xf>
    <xf numFmtId="0" fontId="2" fillId="0" borderId="0" xfId="0" applyFont="1" applyAlignment="1"/>
    <xf numFmtId="0" fontId="22" fillId="0" borderId="0" xfId="0" applyFont="1" applyBorder="1"/>
    <xf numFmtId="0" fontId="6" fillId="0" borderId="8" xfId="0" applyFont="1" applyBorder="1" applyAlignment="1">
      <alignment horizontal="center" shrinkToFit="1"/>
    </xf>
    <xf numFmtId="0" fontId="2" fillId="0" borderId="8" xfId="0" quotePrefix="1" applyFont="1" applyBorder="1" applyAlignment="1">
      <alignment horizontal="center" wrapText="1"/>
    </xf>
    <xf numFmtId="38" fontId="0" fillId="0" borderId="8" xfId="0" applyNumberFormat="1" applyFill="1" applyBorder="1" applyAlignment="1" applyProtection="1">
      <alignment shrinkToFit="1"/>
    </xf>
    <xf numFmtId="0" fontId="2" fillId="0" borderId="0" xfId="0" applyFont="1" applyAlignment="1">
      <alignment horizontal="right"/>
    </xf>
    <xf numFmtId="0" fontId="0" fillId="4" borderId="0" xfId="0" applyFill="1"/>
    <xf numFmtId="0" fontId="0" fillId="0" borderId="8" xfId="0" applyBorder="1" applyAlignment="1">
      <alignment vertical="center" shrinkToFit="1"/>
    </xf>
    <xf numFmtId="37" fontId="0" fillId="0" borderId="0" xfId="0" applyNumberFormat="1"/>
    <xf numFmtId="37" fontId="0" fillId="0" borderId="7" xfId="0" applyNumberFormat="1" applyBorder="1"/>
    <xf numFmtId="37" fontId="0" fillId="0" borderId="11" xfId="0" applyNumberFormat="1" applyBorder="1"/>
    <xf numFmtId="37" fontId="0" fillId="0" borderId="0" xfId="0" applyNumberFormat="1" applyBorder="1"/>
    <xf numFmtId="0" fontId="0" fillId="0" borderId="9" xfId="0" quotePrefix="1" applyBorder="1" applyAlignment="1">
      <alignment horizontal="center"/>
    </xf>
    <xf numFmtId="0" fontId="0" fillId="0" borderId="9" xfId="0" quotePrefix="1" applyBorder="1" applyAlignment="1">
      <alignment horizontal="right"/>
    </xf>
    <xf numFmtId="0" fontId="2" fillId="0" borderId="9" xfId="0" applyFont="1" applyBorder="1" applyAlignment="1">
      <alignment vertical="center"/>
    </xf>
    <xf numFmtId="0" fontId="2" fillId="0" borderId="10" xfId="0" applyFont="1" applyFill="1" applyBorder="1"/>
    <xf numFmtId="0" fontId="6" fillId="0" borderId="0" xfId="0" applyFont="1" applyAlignment="1">
      <alignment shrinkToFit="1"/>
    </xf>
    <xf numFmtId="169" fontId="2" fillId="0" borderId="8" xfId="0" applyNumberFormat="1" applyFont="1" applyFill="1" applyBorder="1" applyAlignment="1" applyProtection="1">
      <alignment horizontal="center" shrinkToFit="1"/>
    </xf>
    <xf numFmtId="169" fontId="2" fillId="0" borderId="8" xfId="0" applyNumberFormat="1" applyFont="1" applyBorder="1" applyAlignment="1" applyProtection="1">
      <alignment horizontal="center" shrinkToFit="1"/>
    </xf>
    <xf numFmtId="0" fontId="13" fillId="0" borderId="0" xfId="0" applyFont="1" applyFill="1" applyBorder="1"/>
    <xf numFmtId="0" fontId="9" fillId="0" borderId="0" xfId="0" applyFont="1" applyAlignment="1">
      <alignment wrapText="1"/>
    </xf>
    <xf numFmtId="0" fontId="2" fillId="0" borderId="0" xfId="0" applyFont="1" applyAlignment="1">
      <alignment vertical="center" wrapText="1"/>
    </xf>
    <xf numFmtId="37" fontId="13" fillId="0" borderId="0" xfId="0" applyNumberFormat="1" applyFont="1"/>
    <xf numFmtId="0" fontId="13" fillId="0" borderId="0" xfId="0" applyFont="1" applyAlignment="1">
      <alignment shrinkToFit="1"/>
    </xf>
    <xf numFmtId="37" fontId="0" fillId="0" borderId="12" xfId="0" applyNumberFormat="1" applyBorder="1"/>
    <xf numFmtId="167" fontId="13" fillId="0" borderId="0" xfId="0" applyNumberFormat="1" applyFont="1"/>
    <xf numFmtId="0" fontId="2" fillId="0" borderId="0" xfId="0" applyFont="1" applyFill="1" applyBorder="1" applyAlignment="1">
      <alignment wrapText="1"/>
    </xf>
    <xf numFmtId="0" fontId="2" fillId="0" borderId="0" xfId="0" applyFont="1" applyFill="1" applyBorder="1" applyAlignment="1"/>
    <xf numFmtId="0" fontId="10" fillId="0" borderId="0" xfId="0" applyFont="1"/>
    <xf numFmtId="0" fontId="23" fillId="0" borderId="0" xfId="0" applyFont="1"/>
    <xf numFmtId="0" fontId="13" fillId="0" borderId="0" xfId="0" applyFont="1" applyFill="1" applyBorder="1" applyAlignment="1">
      <alignment shrinkToFit="1"/>
    </xf>
    <xf numFmtId="0" fontId="0" fillId="0" borderId="2" xfId="0" applyBorder="1" applyAlignment="1">
      <alignment horizontal="left"/>
    </xf>
    <xf numFmtId="0" fontId="1" fillId="0" borderId="0" xfId="0" applyFont="1" applyAlignment="1">
      <alignment horizontal="right"/>
    </xf>
    <xf numFmtId="169" fontId="2" fillId="0" borderId="8" xfId="0" applyNumberFormat="1" applyFont="1" applyFill="1" applyBorder="1" applyAlignment="1">
      <alignment horizontal="center" shrinkToFit="1"/>
    </xf>
    <xf numFmtId="169" fontId="2" fillId="2" borderId="8" xfId="0" applyNumberFormat="1" applyFont="1" applyFill="1" applyBorder="1" applyAlignment="1" applyProtection="1">
      <alignment horizontal="center" shrinkToFit="1"/>
      <protection locked="0"/>
    </xf>
    <xf numFmtId="171" fontId="2" fillId="2" borderId="8" xfId="0" applyNumberFormat="1" applyFont="1" applyFill="1" applyBorder="1" applyAlignment="1" applyProtection="1">
      <alignment horizontal="center" shrinkToFit="1"/>
      <protection locked="0"/>
    </xf>
    <xf numFmtId="37" fontId="2" fillId="2" borderId="8" xfId="0" applyNumberFormat="1" applyFont="1" applyFill="1" applyBorder="1" applyAlignment="1" applyProtection="1">
      <alignment shrinkToFit="1"/>
      <protection locked="0"/>
    </xf>
    <xf numFmtId="0" fontId="3" fillId="0" borderId="8" xfId="0" applyFont="1" applyBorder="1" applyAlignment="1">
      <alignment horizontal="center" wrapText="1"/>
    </xf>
    <xf numFmtId="0" fontId="12" fillId="0" borderId="8" xfId="0" applyFont="1" applyBorder="1" applyAlignment="1">
      <alignment horizontal="center" wrapText="1"/>
    </xf>
    <xf numFmtId="0" fontId="2" fillId="0" borderId="8" xfId="0" applyFont="1" applyFill="1" applyBorder="1" applyAlignment="1">
      <alignment horizontal="center" shrinkToFit="1"/>
    </xf>
    <xf numFmtId="169" fontId="2" fillId="0" borderId="8" xfId="0" applyNumberFormat="1" applyFont="1" applyBorder="1"/>
    <xf numFmtId="37" fontId="2" fillId="0" borderId="8" xfId="0" applyNumberFormat="1" applyFont="1" applyBorder="1"/>
    <xf numFmtId="0" fontId="3" fillId="0" borderId="0" xfId="0" applyFont="1" applyBorder="1"/>
    <xf numFmtId="169" fontId="2" fillId="0" borderId="0" xfId="0" applyNumberFormat="1" applyFont="1" applyBorder="1"/>
    <xf numFmtId="37" fontId="2" fillId="0" borderId="0" xfId="0" applyNumberFormat="1" applyFont="1" applyBorder="1"/>
    <xf numFmtId="0" fontId="0" fillId="0" borderId="0" xfId="0" applyAlignment="1">
      <alignment vertical="top"/>
    </xf>
    <xf numFmtId="0" fontId="0" fillId="0" borderId="0" xfId="0" applyAlignment="1">
      <alignment shrinkToFit="1"/>
    </xf>
    <xf numFmtId="0" fontId="0" fillId="0" borderId="0" xfId="0" applyAlignment="1">
      <alignment horizontal="center" shrinkToFit="1"/>
    </xf>
    <xf numFmtId="38" fontId="0" fillId="0" borderId="0" xfId="0" applyNumberFormat="1"/>
    <xf numFmtId="38" fontId="0" fillId="4" borderId="7" xfId="0" applyNumberFormat="1" applyFill="1" applyBorder="1"/>
    <xf numFmtId="38" fontId="0" fillId="0" borderId="0" xfId="0" applyNumberFormat="1" applyFill="1"/>
    <xf numFmtId="167" fontId="0" fillId="0" borderId="0" xfId="0" applyNumberFormat="1"/>
    <xf numFmtId="38" fontId="2" fillId="2" borderId="8" xfId="0" applyNumberFormat="1" applyFont="1" applyFill="1" applyBorder="1" applyAlignment="1" applyProtection="1">
      <alignment shrinkToFit="1"/>
      <protection locked="0"/>
    </xf>
    <xf numFmtId="38" fontId="2" fillId="0" borderId="8" xfId="0" applyNumberFormat="1" applyFont="1" applyBorder="1" applyAlignment="1">
      <alignment shrinkToFit="1"/>
    </xf>
    <xf numFmtId="38" fontId="2" fillId="0" borderId="8" xfId="0" applyNumberFormat="1" applyFont="1" applyFill="1" applyBorder="1" applyAlignment="1" applyProtection="1">
      <alignment shrinkToFit="1"/>
    </xf>
    <xf numFmtId="38" fontId="2" fillId="0" borderId="8" xfId="0" applyNumberFormat="1" applyFont="1" applyBorder="1" applyAlignment="1" applyProtection="1">
      <alignment shrinkToFit="1"/>
    </xf>
    <xf numFmtId="38" fontId="0" fillId="0" borderId="2" xfId="0" applyNumberFormat="1" applyBorder="1"/>
    <xf numFmtId="37" fontId="0" fillId="0" borderId="0" xfId="0" applyNumberFormat="1" applyAlignment="1">
      <alignment shrinkToFit="1"/>
    </xf>
    <xf numFmtId="37" fontId="0" fillId="0" borderId="7" xfId="0" applyNumberFormat="1" applyBorder="1" applyAlignment="1">
      <alignment shrinkToFit="1"/>
    </xf>
    <xf numFmtId="38" fontId="0" fillId="0" borderId="0" xfId="0" applyNumberFormat="1" applyFill="1" applyAlignment="1">
      <alignment shrinkToFit="1"/>
    </xf>
    <xf numFmtId="0" fontId="10" fillId="0" borderId="8" xfId="0" applyFont="1" applyBorder="1" applyAlignment="1">
      <alignment horizontal="center" vertical="center" shrinkToFit="1"/>
    </xf>
    <xf numFmtId="0" fontId="10" fillId="6" borderId="8" xfId="0" applyFont="1" applyFill="1" applyBorder="1" applyAlignment="1">
      <alignment horizontal="center" vertical="center" shrinkToFit="1"/>
    </xf>
    <xf numFmtId="0" fontId="0" fillId="2" borderId="13" xfId="0" applyFill="1" applyBorder="1" applyAlignment="1" applyProtection="1">
      <alignment horizontal="center"/>
      <protection locked="0"/>
    </xf>
    <xf numFmtId="0" fontId="10" fillId="0" borderId="8" xfId="0" applyFont="1" applyFill="1" applyBorder="1" applyAlignment="1">
      <alignment horizontal="center" vertical="center" shrinkToFit="1"/>
    </xf>
    <xf numFmtId="0" fontId="10" fillId="0" borderId="8" xfId="0" applyFont="1" applyBorder="1" applyAlignment="1">
      <alignment horizontal="center" shrinkToFit="1"/>
    </xf>
    <xf numFmtId="0" fontId="10" fillId="4" borderId="8" xfId="0" applyFont="1" applyFill="1" applyBorder="1" applyAlignment="1">
      <alignment horizontal="center" vertical="center" shrinkToFit="1"/>
    </xf>
    <xf numFmtId="0" fontId="0" fillId="0" borderId="0" xfId="0" applyFill="1" applyAlignment="1">
      <alignment shrinkToFit="1"/>
    </xf>
    <xf numFmtId="0" fontId="6" fillId="3" borderId="8" xfId="0" applyFont="1" applyFill="1" applyBorder="1" applyAlignment="1">
      <alignment horizontal="center" shrinkToFit="1"/>
    </xf>
    <xf numFmtId="0" fontId="0" fillId="2" borderId="14" xfId="0" applyFill="1" applyBorder="1" applyAlignment="1" applyProtection="1">
      <alignment horizontal="center" shrinkToFit="1"/>
      <protection locked="0"/>
    </xf>
    <xf numFmtId="0" fontId="10" fillId="6" borderId="13" xfId="0" applyFont="1" applyFill="1" applyBorder="1" applyAlignment="1">
      <alignment horizontal="center" vertical="center"/>
    </xf>
    <xf numFmtId="0" fontId="10" fillId="0" borderId="13" xfId="0" applyFont="1" applyBorder="1" applyAlignment="1">
      <alignment horizontal="center" shrinkToFit="1"/>
    </xf>
    <xf numFmtId="0" fontId="10" fillId="6" borderId="8" xfId="0" applyFont="1" applyFill="1" applyBorder="1" applyAlignment="1">
      <alignment horizontal="center" vertical="center"/>
    </xf>
    <xf numFmtId="0" fontId="6" fillId="7" borderId="0" xfId="0" applyFont="1" applyFill="1" applyAlignment="1">
      <alignment shrinkToFit="1"/>
    </xf>
    <xf numFmtId="0" fontId="10" fillId="0" borderId="8" xfId="0" applyFont="1" applyBorder="1" applyAlignment="1">
      <alignment horizontal="center"/>
    </xf>
    <xf numFmtId="0" fontId="0" fillId="0" borderId="0" xfId="0" applyAlignment="1"/>
    <xf numFmtId="0" fontId="10" fillId="0" borderId="13" xfId="0" applyFont="1" applyFill="1" applyBorder="1" applyAlignment="1">
      <alignment horizontal="center" wrapText="1"/>
    </xf>
    <xf numFmtId="0" fontId="10" fillId="0" borderId="13" xfId="0" applyFont="1" applyFill="1" applyBorder="1" applyAlignment="1">
      <alignment horizontal="center" vertical="center" shrinkToFit="1"/>
    </xf>
    <xf numFmtId="0" fontId="10" fillId="0" borderId="8" xfId="0" applyFont="1" applyBorder="1" applyAlignment="1">
      <alignment horizontal="center" wrapText="1"/>
    </xf>
    <xf numFmtId="0" fontId="10" fillId="0" borderId="13" xfId="0" applyFont="1" applyBorder="1" applyAlignment="1">
      <alignment horizontal="center" vertical="center" shrinkToFit="1"/>
    </xf>
    <xf numFmtId="0" fontId="10" fillId="6" borderId="13" xfId="0" applyFont="1" applyFill="1" applyBorder="1" applyAlignment="1">
      <alignment horizontal="center" vertical="center" shrinkToFit="1"/>
    </xf>
    <xf numFmtId="0" fontId="10" fillId="0" borderId="0" xfId="0" applyFont="1" applyAlignment="1">
      <alignment horizontal="center"/>
    </xf>
    <xf numFmtId="0" fontId="10" fillId="0" borderId="13" xfId="0" applyFont="1" applyBorder="1" applyAlignment="1">
      <alignment horizontal="center" wrapText="1"/>
    </xf>
    <xf numFmtId="0" fontId="10" fillId="0" borderId="8" xfId="0" quotePrefix="1" applyFont="1" applyBorder="1" applyAlignment="1">
      <alignment horizontal="center" wrapText="1"/>
    </xf>
    <xf numFmtId="0" fontId="0" fillId="0" borderId="0" xfId="0" applyProtection="1">
      <protection locked="0"/>
    </xf>
    <xf numFmtId="38" fontId="0" fillId="2" borderId="8" xfId="0" applyNumberFormat="1" applyFill="1" applyBorder="1" applyAlignment="1" applyProtection="1">
      <alignment shrinkToFit="1"/>
    </xf>
    <xf numFmtId="0" fontId="0" fillId="0" borderId="0" xfId="0" applyAlignment="1">
      <alignment wrapText="1"/>
    </xf>
    <xf numFmtId="164" fontId="6" fillId="0" borderId="0" xfId="0" applyNumberFormat="1" applyFont="1" applyAlignment="1">
      <alignment vertical="top"/>
    </xf>
    <xf numFmtId="167" fontId="0" fillId="0" borderId="0" xfId="0" applyNumberFormat="1" applyAlignment="1">
      <alignment horizontal="center" vertical="center"/>
    </xf>
    <xf numFmtId="0" fontId="0" fillId="8" borderId="8" xfId="0" applyFill="1" applyBorder="1"/>
    <xf numFmtId="0" fontId="0" fillId="8" borderId="8" xfId="0" applyFill="1" applyBorder="1" applyAlignment="1" applyProtection="1">
      <alignment horizontal="center"/>
      <protection locked="0"/>
    </xf>
    <xf numFmtId="0" fontId="10" fillId="0" borderId="0" xfId="0" applyFont="1" applyAlignment="1">
      <alignment wrapText="1"/>
    </xf>
    <xf numFmtId="0" fontId="10" fillId="9" borderId="8" xfId="0" applyFont="1" applyFill="1" applyBorder="1" applyAlignment="1">
      <alignment vertical="center" wrapText="1"/>
    </xf>
    <xf numFmtId="0" fontId="0" fillId="0" borderId="0" xfId="0" applyFill="1" applyAlignment="1">
      <alignment vertical="center"/>
    </xf>
    <xf numFmtId="0" fontId="0" fillId="0" borderId="0" xfId="0" applyProtection="1"/>
    <xf numFmtId="0" fontId="2" fillId="0" borderId="12" xfId="0" applyFont="1" applyBorder="1"/>
    <xf numFmtId="0" fontId="0" fillId="0" borderId="12" xfId="0" applyBorder="1"/>
    <xf numFmtId="0" fontId="21" fillId="0" borderId="12" xfId="0" applyFont="1" applyBorder="1"/>
    <xf numFmtId="0" fontId="21" fillId="0" borderId="14" xfId="0" applyFont="1" applyBorder="1"/>
    <xf numFmtId="0" fontId="18" fillId="5" borderId="0" xfId="0" applyFont="1" applyFill="1"/>
    <xf numFmtId="37" fontId="21" fillId="0" borderId="12" xfId="0" applyNumberFormat="1" applyFont="1" applyFill="1" applyBorder="1"/>
    <xf numFmtId="0" fontId="21" fillId="0" borderId="14" xfId="0" applyFont="1" applyFill="1" applyBorder="1"/>
    <xf numFmtId="37" fontId="21" fillId="6" borderId="15" xfId="0" applyNumberFormat="1" applyFont="1" applyFill="1" applyBorder="1"/>
    <xf numFmtId="37" fontId="21" fillId="6" borderId="16" xfId="0" applyNumberFormat="1" applyFont="1" applyFill="1" applyBorder="1"/>
    <xf numFmtId="37" fontId="21" fillId="6" borderId="6" xfId="0" applyNumberFormat="1" applyFont="1" applyFill="1" applyBorder="1"/>
    <xf numFmtId="37" fontId="21" fillId="6" borderId="17" xfId="0" applyNumberFormat="1" applyFont="1" applyFill="1" applyBorder="1"/>
    <xf numFmtId="0" fontId="21" fillId="0" borderId="12" xfId="0" applyFont="1" applyFill="1" applyBorder="1"/>
    <xf numFmtId="37" fontId="21" fillId="0" borderId="12" xfId="0" applyNumberFormat="1" applyFont="1" applyBorder="1"/>
    <xf numFmtId="164" fontId="3" fillId="0" borderId="0" xfId="0" applyNumberFormat="1" applyFont="1" applyBorder="1" applyAlignment="1">
      <alignment horizontal="right"/>
    </xf>
    <xf numFmtId="0" fontId="2" fillId="0" borderId="12" xfId="0" applyFont="1" applyFill="1" applyBorder="1"/>
    <xf numFmtId="0" fontId="0" fillId="0" borderId="12" xfId="0" applyFill="1" applyBorder="1"/>
    <xf numFmtId="37" fontId="21" fillId="0" borderId="14" xfId="0" applyNumberFormat="1" applyFont="1" applyFill="1" applyBorder="1"/>
    <xf numFmtId="37" fontId="21" fillId="0" borderId="7" xfId="0" applyNumberFormat="1" applyFont="1" applyBorder="1"/>
    <xf numFmtId="0" fontId="21" fillId="0" borderId="0" xfId="0" applyFont="1" applyBorder="1"/>
    <xf numFmtId="0" fontId="10" fillId="0" borderId="0" xfId="0" applyFont="1" applyFill="1" applyBorder="1" applyAlignment="1">
      <alignment vertical="center" wrapText="1"/>
    </xf>
    <xf numFmtId="0" fontId="3" fillId="0" borderId="4" xfId="0" applyFont="1" applyBorder="1" applyAlignment="1">
      <alignment horizontal="center" wrapText="1"/>
    </xf>
    <xf numFmtId="171" fontId="3" fillId="0" borderId="5" xfId="0" applyNumberFormat="1" applyFont="1" applyFill="1" applyBorder="1" applyAlignment="1">
      <alignment horizontal="center" vertical="top" shrinkToFit="1"/>
    </xf>
    <xf numFmtId="0" fontId="10" fillId="0" borderId="0" xfId="0" applyFont="1" applyAlignment="1">
      <alignment horizontal="center" vertical="center" wrapText="1"/>
    </xf>
    <xf numFmtId="0" fontId="26" fillId="0" borderId="0" xfId="0" applyFont="1"/>
    <xf numFmtId="0" fontId="7" fillId="0" borderId="0" xfId="0" applyFont="1" applyAlignment="1">
      <alignment wrapText="1"/>
    </xf>
    <xf numFmtId="0" fontId="2" fillId="0" borderId="0" xfId="0" applyFont="1" applyAlignment="1">
      <alignment horizontal="right" vertical="top"/>
    </xf>
    <xf numFmtId="0" fontId="27" fillId="9" borderId="0" xfId="0" applyFont="1" applyFill="1" applyAlignment="1">
      <alignment horizontal="center"/>
    </xf>
    <xf numFmtId="0" fontId="2" fillId="0" borderId="18" xfId="0" applyFont="1" applyBorder="1"/>
    <xf numFmtId="0" fontId="2" fillId="0" borderId="16" xfId="0" applyFont="1" applyBorder="1"/>
    <xf numFmtId="0" fontId="5" fillId="0" borderId="12" xfId="0" applyFont="1" applyBorder="1"/>
    <xf numFmtId="0" fontId="21" fillId="0" borderId="15" xfId="0" applyFont="1" applyBorder="1"/>
    <xf numFmtId="0" fontId="21" fillId="0" borderId="6" xfId="0" applyFont="1" applyBorder="1"/>
    <xf numFmtId="0" fontId="21" fillId="0" borderId="7" xfId="0" applyFont="1" applyFill="1" applyBorder="1"/>
    <xf numFmtId="37" fontId="21" fillId="0" borderId="15" xfId="0" applyNumberFormat="1" applyFont="1" applyFill="1" applyBorder="1"/>
    <xf numFmtId="37" fontId="3" fillId="0" borderId="6" xfId="0" applyNumberFormat="1" applyFont="1" applyFill="1" applyBorder="1"/>
    <xf numFmtId="164" fontId="3" fillId="0" borderId="3" xfId="0" applyNumberFormat="1" applyFont="1" applyFill="1" applyBorder="1"/>
    <xf numFmtId="0" fontId="3" fillId="0" borderId="15" xfId="0" applyFont="1" applyFill="1" applyBorder="1"/>
    <xf numFmtId="0" fontId="3" fillId="0" borderId="6" xfId="0" applyFont="1" applyFill="1" applyBorder="1"/>
    <xf numFmtId="0" fontId="3" fillId="0" borderId="12" xfId="0" applyFont="1" applyFill="1" applyBorder="1"/>
    <xf numFmtId="164" fontId="3" fillId="0" borderId="7" xfId="0" applyNumberFormat="1" applyFont="1" applyFill="1" applyBorder="1"/>
    <xf numFmtId="164" fontId="3" fillId="0" borderId="12" xfId="0" applyNumberFormat="1" applyFont="1" applyFill="1" applyBorder="1"/>
    <xf numFmtId="0" fontId="2" fillId="0" borderId="17" xfId="0" applyFont="1" applyBorder="1"/>
    <xf numFmtId="0" fontId="2" fillId="0" borderId="7" xfId="0" applyFont="1" applyBorder="1"/>
    <xf numFmtId="0" fontId="14" fillId="0" borderId="7" xfId="0" applyFont="1" applyBorder="1"/>
    <xf numFmtId="0" fontId="28" fillId="0" borderId="17" xfId="0" applyFont="1" applyBorder="1" applyAlignment="1">
      <alignment horizontal="left"/>
    </xf>
    <xf numFmtId="0" fontId="2" fillId="0" borderId="3" xfId="0" applyFont="1" applyBorder="1" applyAlignment="1">
      <alignment horizontal="center" vertical="center"/>
    </xf>
    <xf numFmtId="164" fontId="3" fillId="0" borderId="12" xfId="0" applyNumberFormat="1" applyFont="1" applyBorder="1" applyAlignment="1">
      <alignment horizontal="right"/>
    </xf>
    <xf numFmtId="38" fontId="0" fillId="0" borderId="12" xfId="0" applyNumberFormat="1" applyBorder="1"/>
    <xf numFmtId="38" fontId="0" fillId="0" borderId="8" xfId="0" applyNumberFormat="1" applyBorder="1"/>
    <xf numFmtId="0" fontId="6" fillId="0" borderId="8" xfId="0" applyNumberFormat="1" applyFont="1" applyBorder="1" applyAlignment="1">
      <alignment horizontal="center" wrapText="1"/>
    </xf>
    <xf numFmtId="0" fontId="0" fillId="0" borderId="18" xfId="0" applyBorder="1"/>
    <xf numFmtId="0" fontId="5" fillId="0" borderId="12" xfId="0" applyFont="1" applyFill="1" applyBorder="1"/>
    <xf numFmtId="38" fontId="0" fillId="0" borderId="7" xfId="0" applyNumberFormat="1" applyBorder="1"/>
    <xf numFmtId="0" fontId="8" fillId="7" borderId="0" xfId="0" applyFont="1" applyFill="1" applyAlignment="1"/>
    <xf numFmtId="0" fontId="0" fillId="7" borderId="0" xfId="0" applyFill="1" applyAlignment="1">
      <alignment horizontal="center" shrinkToFit="1"/>
    </xf>
    <xf numFmtId="38" fontId="0" fillId="7" borderId="0" xfId="0" applyNumberFormat="1" applyFill="1"/>
    <xf numFmtId="0" fontId="0" fillId="0" borderId="0" xfId="0" applyFill="1" applyAlignment="1">
      <alignment horizontal="right"/>
    </xf>
    <xf numFmtId="0" fontId="33" fillId="0" borderId="12" xfId="0" applyFont="1" applyFill="1" applyBorder="1" applyAlignment="1">
      <alignment vertical="center"/>
    </xf>
    <xf numFmtId="167" fontId="0" fillId="9" borderId="0" xfId="0" applyNumberFormat="1" applyFill="1" applyAlignment="1">
      <alignment horizontal="center" vertical="center"/>
    </xf>
    <xf numFmtId="166" fontId="0" fillId="0" borderId="0" xfId="0" applyNumberFormat="1"/>
    <xf numFmtId="166" fontId="2" fillId="0" borderId="0" xfId="0" applyNumberFormat="1" applyFont="1" applyAlignment="1">
      <alignment shrinkToFit="1"/>
    </xf>
    <xf numFmtId="167" fontId="0" fillId="0" borderId="0" xfId="0" applyNumberFormat="1" applyFill="1" applyAlignment="1">
      <alignment horizontal="center" vertical="center"/>
    </xf>
    <xf numFmtId="0" fontId="10" fillId="0" borderId="8" xfId="0" applyFont="1" applyFill="1" applyBorder="1" applyAlignment="1">
      <alignment horizontal="center" vertical="center" wrapText="1"/>
    </xf>
    <xf numFmtId="0" fontId="10" fillId="0" borderId="13" xfId="0" applyFont="1" applyFill="1" applyBorder="1" applyAlignment="1">
      <alignment horizontal="center" vertical="center" wrapText="1"/>
    </xf>
    <xf numFmtId="164" fontId="6" fillId="4" borderId="0" xfId="0" applyNumberFormat="1" applyFont="1" applyFill="1" applyAlignment="1">
      <alignment vertical="top"/>
    </xf>
    <xf numFmtId="167" fontId="0" fillId="4" borderId="0" xfId="0" applyNumberFormat="1" applyFill="1" applyAlignment="1">
      <alignment horizontal="center" vertical="center"/>
    </xf>
    <xf numFmtId="14" fontId="0" fillId="0" borderId="0" xfId="0" applyNumberFormat="1"/>
    <xf numFmtId="0" fontId="2" fillId="0" borderId="0" xfId="0" applyFont="1" applyAlignment="1">
      <alignment shrinkToFit="1"/>
    </xf>
    <xf numFmtId="0" fontId="1" fillId="0" borderId="0" xfId="0" applyFont="1" applyFill="1" applyAlignment="1">
      <alignment horizontal="right"/>
    </xf>
    <xf numFmtId="0" fontId="1" fillId="0" borderId="0" xfId="0" applyFont="1" applyFill="1" applyAlignment="1">
      <alignment horizontal="center"/>
    </xf>
    <xf numFmtId="0" fontId="16" fillId="0" borderId="0" xfId="0" applyFont="1" applyBorder="1" applyAlignment="1">
      <alignment horizontal="center"/>
    </xf>
    <xf numFmtId="0" fontId="9" fillId="0" borderId="0" xfId="0" applyFont="1" applyBorder="1"/>
    <xf numFmtId="0" fontId="22" fillId="0" borderId="0" xfId="0" applyFont="1" applyAlignment="1">
      <alignment shrinkToFit="1"/>
    </xf>
    <xf numFmtId="166" fontId="22" fillId="0" borderId="0" xfId="0" applyNumberFormat="1" applyFont="1" applyAlignment="1">
      <alignment shrinkToFit="1"/>
    </xf>
    <xf numFmtId="0" fontId="2" fillId="0" borderId="13" xfId="0" applyFont="1" applyBorder="1" applyAlignment="1">
      <alignment horizontal="center" wrapText="1"/>
    </xf>
    <xf numFmtId="0" fontId="9" fillId="0" borderId="12" xfId="0" applyFont="1" applyBorder="1"/>
    <xf numFmtId="0" fontId="9" fillId="0" borderId="0" xfId="0" applyFont="1" applyFill="1" applyBorder="1"/>
    <xf numFmtId="164" fontId="3" fillId="0" borderId="7" xfId="0" applyNumberFormat="1" applyFont="1" applyBorder="1" applyAlignment="1">
      <alignment horizontal="right"/>
    </xf>
    <xf numFmtId="0" fontId="2" fillId="0" borderId="8" xfId="0" applyFont="1" applyBorder="1" applyAlignment="1">
      <alignment horizontal="center" wrapText="1"/>
    </xf>
    <xf numFmtId="0" fontId="31" fillId="0" borderId="0" xfId="0" applyFont="1" applyAlignment="1">
      <alignment horizontal="center"/>
    </xf>
    <xf numFmtId="38" fontId="9" fillId="0" borderId="8" xfId="0" applyNumberFormat="1" applyFont="1" applyBorder="1"/>
    <xf numFmtId="0" fontId="0" fillId="0" borderId="19" xfId="0" applyBorder="1"/>
    <xf numFmtId="0" fontId="20" fillId="0" borderId="0" xfId="0" applyFont="1"/>
    <xf numFmtId="169" fontId="1" fillId="0" borderId="8" xfId="0" applyNumberFormat="1" applyFont="1" applyFill="1" applyBorder="1" applyAlignment="1"/>
    <xf numFmtId="37" fontId="1" fillId="0" borderId="8" xfId="0" applyNumberFormat="1" applyFont="1" applyFill="1" applyBorder="1" applyAlignment="1"/>
    <xf numFmtId="37" fontId="1" fillId="0" borderId="13" xfId="0" applyNumberFormat="1" applyFont="1" applyFill="1" applyBorder="1" applyAlignment="1"/>
    <xf numFmtId="0" fontId="0" fillId="4" borderId="0" xfId="0" applyFill="1" applyAlignment="1">
      <alignment wrapText="1"/>
    </xf>
    <xf numFmtId="0" fontId="1" fillId="0" borderId="12" xfId="0" applyFont="1" applyFill="1" applyBorder="1" applyAlignment="1">
      <alignment shrinkToFit="1"/>
    </xf>
    <xf numFmtId="0" fontId="10" fillId="0" borderId="12" xfId="0" applyFont="1" applyFill="1" applyBorder="1" applyAlignment="1">
      <alignment horizontal="center" vertical="center" shrinkToFit="1"/>
    </xf>
    <xf numFmtId="164" fontId="3" fillId="0" borderId="12" xfId="0" applyNumberFormat="1" applyFont="1" applyFill="1" applyBorder="1" applyAlignment="1">
      <alignment horizontal="right"/>
    </xf>
    <xf numFmtId="0" fontId="0" fillId="0" borderId="20" xfId="0" applyBorder="1"/>
    <xf numFmtId="0" fontId="0" fillId="0" borderId="21" xfId="0" applyBorder="1"/>
    <xf numFmtId="0" fontId="0" fillId="0" borderId="22" xfId="0" applyBorder="1"/>
    <xf numFmtId="0" fontId="0" fillId="0" borderId="23" xfId="0" applyBorder="1"/>
    <xf numFmtId="0" fontId="2" fillId="0" borderId="24" xfId="0" applyFont="1" applyBorder="1"/>
    <xf numFmtId="0" fontId="2" fillId="0" borderId="25" xfId="0" applyFont="1" applyBorder="1"/>
    <xf numFmtId="38" fontId="0" fillId="0" borderId="0" xfId="0" applyNumberFormat="1" applyBorder="1"/>
    <xf numFmtId="0" fontId="2" fillId="0" borderId="0" xfId="0" applyFont="1" applyBorder="1" applyAlignment="1">
      <alignment shrinkToFit="1"/>
    </xf>
    <xf numFmtId="0" fontId="2" fillId="0" borderId="0" xfId="0" applyFont="1" applyBorder="1" applyAlignment="1">
      <alignment wrapText="1"/>
    </xf>
    <xf numFmtId="0" fontId="2" fillId="0" borderId="24" xfId="0" applyFont="1" applyBorder="1" applyAlignment="1">
      <alignment vertical="center"/>
    </xf>
    <xf numFmtId="0" fontId="0" fillId="0" borderId="0" xfId="0" applyBorder="1" applyAlignment="1">
      <alignment vertical="center"/>
    </xf>
    <xf numFmtId="38" fontId="0" fillId="0" borderId="0" xfId="0" applyNumberFormat="1" applyBorder="1" applyAlignment="1">
      <alignment vertical="center"/>
    </xf>
    <xf numFmtId="1" fontId="0" fillId="2" borderId="8" xfId="0" applyNumberFormat="1" applyFill="1" applyBorder="1" applyAlignment="1" applyProtection="1">
      <alignment horizontal="center"/>
      <protection locked="0"/>
    </xf>
    <xf numFmtId="0" fontId="16" fillId="0" borderId="0" xfId="0" applyFont="1"/>
    <xf numFmtId="0" fontId="0" fillId="9" borderId="0" xfId="0" applyFill="1" applyBorder="1"/>
    <xf numFmtId="164" fontId="14" fillId="0" borderId="8" xfId="0" applyNumberFormat="1" applyFont="1" applyBorder="1" applyAlignment="1">
      <alignment horizontal="right"/>
    </xf>
    <xf numFmtId="164" fontId="14" fillId="0" borderId="0" xfId="0" applyNumberFormat="1" applyFont="1" applyBorder="1" applyAlignment="1">
      <alignment horizontal="right"/>
    </xf>
    <xf numFmtId="3" fontId="2" fillId="0" borderId="0" xfId="0" applyNumberFormat="1" applyFont="1" applyFill="1" applyBorder="1" applyAlignment="1" applyProtection="1">
      <alignment wrapText="1"/>
    </xf>
    <xf numFmtId="38" fontId="9" fillId="0" borderId="8" xfId="0" applyNumberFormat="1" applyFont="1" applyBorder="1" applyAlignment="1">
      <alignment shrinkToFit="1"/>
    </xf>
    <xf numFmtId="38" fontId="9" fillId="2" borderId="8" xfId="0" applyNumberFormat="1" applyFont="1" applyFill="1" applyBorder="1" applyAlignment="1" applyProtection="1">
      <alignment shrinkToFit="1"/>
      <protection locked="0"/>
    </xf>
    <xf numFmtId="38" fontId="2" fillId="0" borderId="0" xfId="0" applyNumberFormat="1" applyFont="1" applyBorder="1"/>
    <xf numFmtId="0" fontId="6" fillId="0" borderId="22" xfId="0" applyFont="1" applyBorder="1" applyAlignment="1">
      <alignment horizontal="center"/>
    </xf>
    <xf numFmtId="38" fontId="0" fillId="0" borderId="22" xfId="0" applyNumberFormat="1" applyBorder="1"/>
    <xf numFmtId="10" fontId="0" fillId="0" borderId="22" xfId="0" applyNumberFormat="1" applyBorder="1"/>
    <xf numFmtId="0" fontId="24" fillId="0" borderId="0" xfId="0" applyFont="1" applyBorder="1"/>
    <xf numFmtId="0" fontId="9" fillId="0" borderId="0" xfId="0" applyFont="1" applyBorder="1" applyProtection="1"/>
    <xf numFmtId="0" fontId="3" fillId="0" borderId="0" xfId="0" applyFont="1" applyBorder="1" applyProtection="1"/>
    <xf numFmtId="169" fontId="2" fillId="0" borderId="0" xfId="0" applyNumberFormat="1" applyFont="1" applyBorder="1" applyProtection="1"/>
    <xf numFmtId="37" fontId="2" fillId="0" borderId="0" xfId="0" applyNumberFormat="1" applyFont="1" applyBorder="1" applyProtection="1"/>
    <xf numFmtId="0" fontId="2" fillId="0" borderId="0" xfId="0" applyFont="1" applyBorder="1" applyProtection="1"/>
    <xf numFmtId="166" fontId="9" fillId="2" borderId="8" xfId="0" applyNumberFormat="1" applyFont="1" applyFill="1" applyBorder="1" applyAlignment="1" applyProtection="1">
      <alignment horizontal="center"/>
      <protection locked="0"/>
    </xf>
    <xf numFmtId="3" fontId="2" fillId="0" borderId="0" xfId="0" applyNumberFormat="1" applyFont="1" applyBorder="1"/>
    <xf numFmtId="0" fontId="2" fillId="9" borderId="0" xfId="0" applyFont="1" applyFill="1" applyBorder="1" applyAlignment="1">
      <alignment wrapText="1"/>
    </xf>
    <xf numFmtId="0" fontId="8" fillId="7" borderId="26" xfId="0" applyFont="1" applyFill="1" applyBorder="1" applyAlignment="1"/>
    <xf numFmtId="0" fontId="0" fillId="7" borderId="20" xfId="0" applyFill="1" applyBorder="1" applyAlignment="1">
      <alignment horizontal="center" shrinkToFit="1"/>
    </xf>
    <xf numFmtId="38" fontId="0" fillId="7" borderId="20" xfId="0" applyNumberFormat="1" applyFill="1" applyBorder="1"/>
    <xf numFmtId="0" fontId="13" fillId="0" borderId="24" xfId="0" applyFont="1" applyBorder="1"/>
    <xf numFmtId="0" fontId="13" fillId="0" borderId="0" xfId="0" applyFont="1" applyBorder="1"/>
    <xf numFmtId="0" fontId="13" fillId="0" borderId="22" xfId="0" applyFont="1" applyBorder="1"/>
    <xf numFmtId="0" fontId="13" fillId="0" borderId="25" xfId="0" applyFont="1" applyBorder="1"/>
    <xf numFmtId="0" fontId="13" fillId="0" borderId="19" xfId="0" applyFont="1" applyBorder="1"/>
    <xf numFmtId="0" fontId="13" fillId="0" borderId="23" xfId="0" applyFont="1" applyBorder="1"/>
    <xf numFmtId="0" fontId="9" fillId="0" borderId="0" xfId="0" applyFont="1" applyBorder="1" applyAlignment="1">
      <alignment vertical="top" wrapText="1"/>
    </xf>
    <xf numFmtId="0" fontId="6" fillId="0" borderId="0" xfId="0" applyFont="1" applyBorder="1" applyAlignment="1">
      <alignment vertical="center"/>
    </xf>
    <xf numFmtId="0" fontId="0" fillId="0" borderId="24" xfId="0" applyBorder="1"/>
    <xf numFmtId="0" fontId="0" fillId="0" borderId="25" xfId="0" applyBorder="1"/>
    <xf numFmtId="0" fontId="0" fillId="0" borderId="0" xfId="0" applyBorder="1" applyAlignment="1">
      <alignment horizontal="center"/>
    </xf>
    <xf numFmtId="0" fontId="6" fillId="0" borderId="0" xfId="0" applyFont="1" applyBorder="1" applyAlignment="1">
      <alignment horizontal="center"/>
    </xf>
    <xf numFmtId="0" fontId="0" fillId="0" borderId="2" xfId="0" applyBorder="1" applyAlignment="1">
      <alignment horizontal="center"/>
    </xf>
    <xf numFmtId="0" fontId="13" fillId="0" borderId="24" xfId="0" applyFont="1" applyBorder="1" applyAlignment="1">
      <alignment vertical="center"/>
    </xf>
    <xf numFmtId="0" fontId="13" fillId="0" borderId="0" xfId="0" applyFont="1" applyBorder="1" applyAlignment="1">
      <alignment vertical="center"/>
    </xf>
    <xf numFmtId="0" fontId="3" fillId="0" borderId="22" xfId="0" applyFont="1" applyBorder="1" applyAlignment="1">
      <alignment horizontal="center"/>
    </xf>
    <xf numFmtId="37" fontId="0" fillId="0" borderId="12" xfId="0" applyNumberFormat="1" applyFill="1" applyBorder="1" applyAlignment="1" applyProtection="1">
      <alignment shrinkToFit="1"/>
    </xf>
    <xf numFmtId="0" fontId="0" fillId="0" borderId="0" xfId="0" applyBorder="1" applyAlignment="1" applyProtection="1">
      <alignment vertical="center"/>
      <protection locked="0"/>
    </xf>
    <xf numFmtId="0" fontId="0" fillId="0" borderId="0" xfId="0" applyFill="1" applyAlignment="1">
      <alignment wrapText="1"/>
    </xf>
    <xf numFmtId="0" fontId="1" fillId="3" borderId="0" xfId="0" applyFont="1" applyFill="1"/>
    <xf numFmtId="0" fontId="0" fillId="0" borderId="8" xfId="0" applyBorder="1"/>
    <xf numFmtId="10" fontId="0" fillId="0" borderId="0" xfId="0" applyNumberFormat="1"/>
    <xf numFmtId="0" fontId="3" fillId="0" borderId="0" xfId="0" applyFont="1" applyFill="1" applyBorder="1"/>
    <xf numFmtId="167" fontId="0" fillId="0" borderId="0" xfId="0" applyNumberFormat="1" applyFill="1" applyBorder="1" applyAlignment="1">
      <alignment horizontal="center"/>
    </xf>
    <xf numFmtId="0" fontId="2" fillId="0" borderId="4" xfId="0" applyFont="1" applyBorder="1"/>
    <xf numFmtId="0" fontId="6" fillId="0" borderId="5" xfId="0" applyFont="1" applyBorder="1"/>
    <xf numFmtId="0" fontId="40" fillId="0" borderId="0" xfId="0" applyFont="1"/>
    <xf numFmtId="164" fontId="2" fillId="0" borderId="0" xfId="0" applyNumberFormat="1" applyFont="1" applyAlignment="1">
      <alignment vertical="center"/>
    </xf>
    <xf numFmtId="0" fontId="41" fillId="0" borderId="0" xfId="0" applyFont="1" applyProtection="1">
      <protection locked="0"/>
    </xf>
    <xf numFmtId="168" fontId="9" fillId="0" borderId="8" xfId="0" applyNumberFormat="1" applyFont="1" applyBorder="1" applyAlignment="1" applyProtection="1">
      <alignment horizontal="center"/>
    </xf>
    <xf numFmtId="0" fontId="42" fillId="0" borderId="0" xfId="0" applyFont="1"/>
    <xf numFmtId="0" fontId="2" fillId="0" borderId="0" xfId="0" applyFont="1" applyFill="1" applyBorder="1"/>
    <xf numFmtId="169" fontId="9" fillId="0" borderId="8" xfId="3" applyNumberFormat="1" applyFont="1" applyBorder="1" applyAlignment="1">
      <alignment horizontal="center"/>
    </xf>
    <xf numFmtId="38" fontId="9" fillId="0" borderId="28" xfId="0" applyNumberFormat="1" applyFont="1" applyBorder="1" applyAlignment="1"/>
    <xf numFmtId="38" fontId="9" fillId="2" borderId="28" xfId="0" applyNumberFormat="1" applyFont="1" applyFill="1" applyBorder="1" applyAlignment="1" applyProtection="1">
      <protection locked="0"/>
    </xf>
    <xf numFmtId="167" fontId="0" fillId="0" borderId="0" xfId="0" applyNumberFormat="1" applyFill="1" applyBorder="1" applyAlignment="1"/>
    <xf numFmtId="0" fontId="0" fillId="0" borderId="16" xfId="0" applyBorder="1"/>
    <xf numFmtId="0" fontId="2" fillId="0" borderId="15" xfId="0" applyFont="1" applyBorder="1"/>
    <xf numFmtId="0" fontId="4" fillId="0" borderId="8" xfId="0" applyFont="1" applyBorder="1"/>
    <xf numFmtId="168" fontId="2" fillId="0" borderId="8" xfId="0" applyNumberFormat="1" applyFont="1" applyBorder="1" applyAlignment="1" applyProtection="1">
      <alignment horizontal="center"/>
    </xf>
    <xf numFmtId="0" fontId="41" fillId="0" borderId="0" xfId="0" applyFont="1" applyProtection="1"/>
    <xf numFmtId="38" fontId="44" fillId="0" borderId="0" xfId="0" applyNumberFormat="1" applyFont="1" applyFill="1" applyBorder="1" applyProtection="1"/>
    <xf numFmtId="0" fontId="45" fillId="0" borderId="0" xfId="0" applyFont="1" applyFill="1" applyBorder="1"/>
    <xf numFmtId="169" fontId="9" fillId="0" borderId="5" xfId="3" applyNumberFormat="1" applyFont="1" applyBorder="1" applyAlignment="1">
      <alignment horizontal="center"/>
    </xf>
    <xf numFmtId="0" fontId="0" fillId="0" borderId="0" xfId="0" applyFill="1" applyBorder="1" applyProtection="1"/>
    <xf numFmtId="0" fontId="6" fillId="0" borderId="0" xfId="0" applyFont="1" applyFill="1" applyBorder="1" applyAlignment="1" applyProtection="1">
      <alignment horizontal="center"/>
    </xf>
    <xf numFmtId="0" fontId="2" fillId="0" borderId="0" xfId="0" applyFont="1" applyProtection="1"/>
    <xf numFmtId="0" fontId="1" fillId="0" borderId="0" xfId="0" applyFont="1" applyProtection="1"/>
    <xf numFmtId="0" fontId="2" fillId="0" borderId="0" xfId="0" applyFont="1" applyAlignment="1">
      <alignment horizontal="center"/>
    </xf>
    <xf numFmtId="0" fontId="22" fillId="0" borderId="0" xfId="0" applyFont="1" applyBorder="1" applyAlignment="1">
      <alignment horizontal="center"/>
    </xf>
    <xf numFmtId="0" fontId="10" fillId="0" borderId="13" xfId="0" applyFont="1" applyFill="1" applyBorder="1" applyAlignment="1">
      <alignment horizontal="center" shrinkToFit="1"/>
    </xf>
    <xf numFmtId="0" fontId="10" fillId="0" borderId="8" xfId="0" applyFont="1" applyFill="1" applyBorder="1" applyAlignment="1">
      <alignment horizontal="center" shrinkToFit="1"/>
    </xf>
    <xf numFmtId="0" fontId="10" fillId="0" borderId="8" xfId="0" applyFont="1" applyFill="1" applyBorder="1" applyAlignment="1">
      <alignment horizontal="center" wrapText="1"/>
    </xf>
    <xf numFmtId="0" fontId="10" fillId="0" borderId="14" xfId="0" applyFont="1" applyBorder="1" applyAlignment="1">
      <alignment horizontal="center" vertical="center" shrinkToFit="1"/>
    </xf>
    <xf numFmtId="0" fontId="10" fillId="0" borderId="14" xfId="0" applyFont="1" applyFill="1" applyBorder="1" applyAlignment="1">
      <alignment horizontal="center" vertical="center" shrinkToFit="1"/>
    </xf>
    <xf numFmtId="0" fontId="6" fillId="2" borderId="8" xfId="0" applyFont="1" applyFill="1" applyBorder="1" applyAlignment="1">
      <alignment horizontal="center"/>
    </xf>
    <xf numFmtId="0" fontId="46" fillId="0" borderId="0" xfId="0" applyFont="1"/>
    <xf numFmtId="0" fontId="47" fillId="0" borderId="0" xfId="0" applyFont="1"/>
    <xf numFmtId="0" fontId="5" fillId="0" borderId="1" xfId="0" applyFont="1" applyFill="1" applyBorder="1" applyAlignment="1">
      <alignment horizontal="center"/>
    </xf>
    <xf numFmtId="0" fontId="6" fillId="0" borderId="0" xfId="0" applyFont="1" applyBorder="1" applyAlignment="1">
      <alignment horizontal="center" vertical="center" wrapText="1"/>
    </xf>
    <xf numFmtId="0" fontId="49" fillId="0" borderId="0" xfId="0" applyFont="1" applyBorder="1" applyAlignment="1">
      <alignment horizontal="center"/>
    </xf>
    <xf numFmtId="0" fontId="49" fillId="0" borderId="0" xfId="0" applyFont="1" applyBorder="1" applyAlignment="1">
      <alignment horizontal="center" vertical="center" wrapText="1"/>
    </xf>
    <xf numFmtId="0" fontId="3" fillId="0" borderId="0" xfId="0" applyFont="1" applyBorder="1" applyAlignment="1">
      <alignment horizontal="center"/>
    </xf>
    <xf numFmtId="0" fontId="5" fillId="0" borderId="0" xfId="0" applyFont="1" applyBorder="1"/>
    <xf numFmtId="0" fontId="7" fillId="0" borderId="0" xfId="0" applyFont="1" applyBorder="1"/>
    <xf numFmtId="0" fontId="50" fillId="0" borderId="0" xfId="0" applyFont="1" applyAlignment="1">
      <alignment horizontal="right"/>
    </xf>
    <xf numFmtId="0" fontId="14" fillId="0" borderId="0" xfId="0" applyFont="1" applyAlignment="1">
      <alignment horizontal="right"/>
    </xf>
    <xf numFmtId="0" fontId="2" fillId="0" borderId="0" xfId="0" applyFont="1" applyFill="1"/>
    <xf numFmtId="0" fontId="19" fillId="0" borderId="7" xfId="0" applyFont="1" applyBorder="1"/>
    <xf numFmtId="0" fontId="19" fillId="0" borderId="7" xfId="0" applyFont="1" applyBorder="1" applyAlignment="1">
      <alignment vertical="top"/>
    </xf>
    <xf numFmtId="0" fontId="14" fillId="0" borderId="0" xfId="0" applyFont="1"/>
    <xf numFmtId="0" fontId="22" fillId="0" borderId="0" xfId="0" applyFont="1" applyBorder="1" applyAlignment="1">
      <alignment horizontal="center" vertical="center" wrapText="1"/>
    </xf>
    <xf numFmtId="166" fontId="48" fillId="0" borderId="0" xfId="0" applyNumberFormat="1" applyFont="1" applyAlignment="1">
      <alignment horizontal="left"/>
    </xf>
    <xf numFmtId="49" fontId="2" fillId="0" borderId="0" xfId="0" applyNumberFormat="1" applyFont="1" applyFill="1" applyBorder="1" applyAlignment="1" applyProtection="1">
      <alignment horizontal="center"/>
    </xf>
    <xf numFmtId="49" fontId="0" fillId="0" borderId="0" xfId="0" applyNumberFormat="1" applyFill="1" applyBorder="1" applyAlignment="1" applyProtection="1">
      <alignment horizontal="center"/>
    </xf>
    <xf numFmtId="0" fontId="6" fillId="0" borderId="24" xfId="0" applyFont="1" applyBorder="1"/>
    <xf numFmtId="0" fontId="6" fillId="0" borderId="0" xfId="0" applyFont="1" applyBorder="1"/>
    <xf numFmtId="0" fontId="13" fillId="4" borderId="30" xfId="0" applyFont="1" applyFill="1" applyBorder="1"/>
    <xf numFmtId="38" fontId="13" fillId="4" borderId="31" xfId="0" applyNumberFormat="1" applyFont="1" applyFill="1" applyBorder="1"/>
    <xf numFmtId="0" fontId="0" fillId="4" borderId="32" xfId="0" applyFill="1" applyBorder="1"/>
    <xf numFmtId="38" fontId="0" fillId="4" borderId="33" xfId="0" applyNumberFormat="1" applyFill="1" applyBorder="1"/>
    <xf numFmtId="0" fontId="0" fillId="4" borderId="34" xfId="0" applyFill="1" applyBorder="1"/>
    <xf numFmtId="38" fontId="0" fillId="4" borderId="35" xfId="0" applyNumberFormat="1" applyFill="1" applyBorder="1"/>
    <xf numFmtId="0" fontId="6" fillId="0" borderId="18" xfId="0" applyFont="1" applyBorder="1"/>
    <xf numFmtId="0" fontId="6" fillId="0" borderId="14" xfId="0" applyFont="1" applyBorder="1"/>
    <xf numFmtId="0" fontId="6" fillId="0" borderId="8" xfId="0" applyFont="1" applyBorder="1"/>
    <xf numFmtId="0" fontId="0" fillId="0" borderId="13" xfId="0" applyBorder="1"/>
    <xf numFmtId="0" fontId="6" fillId="0" borderId="36" xfId="0" applyFont="1" applyBorder="1" applyAlignment="1">
      <alignment horizontal="center"/>
    </xf>
    <xf numFmtId="0" fontId="6" fillId="0" borderId="36" xfId="0" applyFont="1" applyBorder="1" applyAlignment="1">
      <alignment horizontal="center" wrapText="1"/>
    </xf>
    <xf numFmtId="0" fontId="13" fillId="0" borderId="1" xfId="0" applyFont="1" applyBorder="1" applyAlignment="1">
      <alignment horizontal="center"/>
    </xf>
    <xf numFmtId="168" fontId="0" fillId="0" borderId="1" xfId="0" quotePrefix="1" applyNumberFormat="1" applyBorder="1" applyAlignment="1">
      <alignment horizontal="center"/>
    </xf>
    <xf numFmtId="0" fontId="13" fillId="0" borderId="1" xfId="0" applyFont="1" applyBorder="1" applyAlignment="1">
      <alignment horizontal="left"/>
    </xf>
    <xf numFmtId="0" fontId="13" fillId="0" borderId="1" xfId="0" applyFont="1" applyBorder="1" applyAlignment="1">
      <alignment horizontal="center" wrapText="1"/>
    </xf>
    <xf numFmtId="0" fontId="0" fillId="0" borderId="1" xfId="0" applyBorder="1" applyAlignment="1">
      <alignment horizontal="center"/>
    </xf>
    <xf numFmtId="10" fontId="0" fillId="0" borderId="1" xfId="0" applyNumberFormat="1" applyBorder="1" applyAlignment="1">
      <alignment horizontal="center"/>
    </xf>
    <xf numFmtId="0" fontId="13" fillId="0" borderId="1" xfId="0" applyFont="1" applyFill="1" applyBorder="1" applyAlignment="1"/>
    <xf numFmtId="0" fontId="13" fillId="0" borderId="1" xfId="0" applyFont="1" applyBorder="1"/>
    <xf numFmtId="0" fontId="0" fillId="0" borderId="1" xfId="0" applyBorder="1"/>
    <xf numFmtId="168" fontId="0" fillId="0" borderId="1" xfId="0" applyNumberFormat="1" applyBorder="1" applyAlignment="1">
      <alignment horizontal="center"/>
    </xf>
    <xf numFmtId="0" fontId="13" fillId="0" borderId="1" xfId="0" applyFont="1" applyFill="1" applyBorder="1"/>
    <xf numFmtId="10" fontId="0" fillId="0" borderId="1" xfId="0" applyNumberFormat="1" applyFont="1" applyFill="1" applyBorder="1" applyAlignment="1">
      <alignment horizontal="center"/>
    </xf>
    <xf numFmtId="10" fontId="0" fillId="0" borderId="1" xfId="0" applyNumberFormat="1" applyFill="1" applyBorder="1" applyAlignment="1">
      <alignment horizontal="center"/>
    </xf>
    <xf numFmtId="0" fontId="7" fillId="0" borderId="1" xfId="0" applyFont="1" applyBorder="1" applyAlignment="1">
      <alignment horizontal="center" wrapText="1"/>
    </xf>
    <xf numFmtId="168" fontId="0" fillId="0" borderId="1" xfId="0" applyNumberFormat="1" applyFill="1" applyBorder="1" applyAlignment="1">
      <alignment horizontal="center"/>
    </xf>
    <xf numFmtId="0" fontId="0" fillId="0" borderId="1" xfId="0" applyFill="1" applyBorder="1" applyAlignment="1">
      <alignment horizontal="center"/>
    </xf>
    <xf numFmtId="168" fontId="13" fillId="0" borderId="1" xfId="0" applyNumberFormat="1" applyFont="1" applyBorder="1" applyAlignment="1">
      <alignment horizontal="center"/>
    </xf>
    <xf numFmtId="0" fontId="1" fillId="0" borderId="1" xfId="0" applyFont="1" applyFill="1" applyBorder="1" applyAlignment="1">
      <alignment horizontal="center"/>
    </xf>
    <xf numFmtId="0" fontId="38" fillId="0" borderId="1" xfId="0" applyFont="1" applyFill="1" applyBorder="1" applyAlignment="1">
      <alignment horizontal="center"/>
    </xf>
    <xf numFmtId="10" fontId="13" fillId="0" borderId="1" xfId="0" applyNumberFormat="1" applyFont="1" applyFill="1" applyBorder="1" applyAlignment="1">
      <alignment horizontal="center"/>
    </xf>
    <xf numFmtId="168" fontId="13" fillId="0" borderId="1" xfId="0" applyNumberFormat="1" applyFont="1" applyFill="1" applyBorder="1" applyAlignment="1">
      <alignment horizontal="center"/>
    </xf>
    <xf numFmtId="0" fontId="39" fillId="0" borderId="1" xfId="0" applyFont="1" applyFill="1" applyBorder="1" applyAlignment="1">
      <alignment horizontal="center"/>
    </xf>
    <xf numFmtId="0" fontId="25" fillId="0" borderId="17" xfId="0" applyFont="1" applyBorder="1"/>
    <xf numFmtId="0" fontId="3" fillId="0" borderId="6" xfId="0" applyFont="1" applyBorder="1"/>
    <xf numFmtId="0" fontId="15" fillId="0" borderId="19" xfId="0" applyFont="1" applyBorder="1"/>
    <xf numFmtId="0" fontId="15" fillId="0" borderId="37" xfId="0" applyFont="1" applyBorder="1"/>
    <xf numFmtId="0" fontId="6" fillId="0" borderId="38" xfId="0" applyFont="1" applyBorder="1"/>
    <xf numFmtId="38" fontId="0" fillId="2" borderId="5" xfId="0" applyNumberFormat="1" applyFill="1" applyBorder="1" applyProtection="1">
      <protection locked="0"/>
    </xf>
    <xf numFmtId="0" fontId="0" fillId="0" borderId="39" xfId="0" applyBorder="1"/>
    <xf numFmtId="0" fontId="6" fillId="0" borderId="14" xfId="0" applyFont="1" applyBorder="1" applyAlignment="1">
      <alignment vertical="top"/>
    </xf>
    <xf numFmtId="0" fontId="13" fillId="0" borderId="5" xfId="0" applyFont="1" applyBorder="1"/>
    <xf numFmtId="0" fontId="6" fillId="6" borderId="10" xfId="0" applyFont="1" applyFill="1" applyBorder="1"/>
    <xf numFmtId="38" fontId="0" fillId="2" borderId="12" xfId="0" applyNumberFormat="1" applyFill="1" applyBorder="1" applyProtection="1">
      <protection locked="0"/>
    </xf>
    <xf numFmtId="0" fontId="13" fillId="0" borderId="8" xfId="0" applyFont="1" applyBorder="1"/>
    <xf numFmtId="0" fontId="6" fillId="0" borderId="4" xfId="0" applyFont="1" applyBorder="1"/>
    <xf numFmtId="38" fontId="0" fillId="2" borderId="18" xfId="0" applyNumberFormat="1" applyFill="1" applyBorder="1" applyProtection="1">
      <protection locked="0"/>
    </xf>
    <xf numFmtId="0" fontId="13" fillId="0" borderId="4" xfId="0" applyFont="1" applyBorder="1"/>
    <xf numFmtId="38" fontId="0" fillId="0" borderId="18" xfId="0" applyNumberFormat="1" applyBorder="1"/>
    <xf numFmtId="0" fontId="6" fillId="0" borderId="3" xfId="0" applyFont="1" applyBorder="1"/>
    <xf numFmtId="0" fontId="0" fillId="0" borderId="15" xfId="0" applyBorder="1"/>
    <xf numFmtId="38" fontId="0" fillId="0" borderId="7" xfId="0" applyNumberFormat="1" applyFill="1" applyBorder="1"/>
    <xf numFmtId="38" fontId="0" fillId="0" borderId="7" xfId="0" applyNumberFormat="1" applyFill="1" applyBorder="1" applyProtection="1"/>
    <xf numFmtId="37" fontId="0" fillId="0" borderId="12" xfId="0" applyNumberFormat="1" applyFill="1" applyBorder="1" applyProtection="1"/>
    <xf numFmtId="38" fontId="0" fillId="0" borderId="12" xfId="0" applyNumberFormat="1" applyFill="1" applyBorder="1" applyProtection="1"/>
    <xf numFmtId="0" fontId="53" fillId="0" borderId="0" xfId="0" applyFont="1"/>
    <xf numFmtId="0" fontId="6" fillId="0" borderId="40" xfId="0" applyFont="1" applyBorder="1"/>
    <xf numFmtId="38" fontId="0" fillId="0" borderId="19" xfId="0" applyNumberFormat="1" applyFill="1" applyBorder="1" applyProtection="1"/>
    <xf numFmtId="0" fontId="0" fillId="0" borderId="37" xfId="0" applyBorder="1"/>
    <xf numFmtId="0" fontId="54" fillId="0" borderId="0" xfId="0" applyFont="1"/>
    <xf numFmtId="0" fontId="14" fillId="0" borderId="0" xfId="0" applyFont="1" applyAlignment="1">
      <alignment horizontal="centerContinuous"/>
    </xf>
    <xf numFmtId="14" fontId="2" fillId="0" borderId="0" xfId="0" applyNumberFormat="1" applyFont="1"/>
    <xf numFmtId="0" fontId="14" fillId="10" borderId="41" xfId="0" applyFont="1" applyFill="1" applyBorder="1" applyAlignment="1" applyProtection="1">
      <alignment horizontal="centerContinuous"/>
      <protection locked="0"/>
    </xf>
    <xf numFmtId="0" fontId="14" fillId="10" borderId="17" xfId="0" applyFont="1" applyFill="1" applyBorder="1" applyAlignment="1" applyProtection="1">
      <alignment horizontal="centerContinuous"/>
      <protection locked="0"/>
    </xf>
    <xf numFmtId="14" fontId="14" fillId="10" borderId="10" xfId="0" applyNumberFormat="1" applyFont="1" applyFill="1" applyBorder="1" applyAlignment="1">
      <alignment horizontal="centerContinuous"/>
    </xf>
    <xf numFmtId="14" fontId="14" fillId="10" borderId="42" xfId="0" applyNumberFormat="1" applyFont="1" applyFill="1" applyBorder="1" applyAlignment="1">
      <alignment horizontal="centerContinuous"/>
    </xf>
    <xf numFmtId="0" fontId="2" fillId="10" borderId="0" xfId="0" applyFont="1" applyFill="1"/>
    <xf numFmtId="0" fontId="14" fillId="0" borderId="32" xfId="0" applyFont="1" applyBorder="1" applyAlignment="1">
      <alignment horizontal="center" wrapText="1"/>
    </xf>
    <xf numFmtId="0" fontId="14" fillId="0" borderId="14" xfId="0" applyFont="1" applyBorder="1" applyAlignment="1">
      <alignment horizontal="center" wrapText="1"/>
    </xf>
    <xf numFmtId="14" fontId="14" fillId="0" borderId="8" xfId="0" applyNumberFormat="1" applyFont="1" applyBorder="1" applyAlignment="1">
      <alignment horizontal="center"/>
    </xf>
    <xf numFmtId="14" fontId="14" fillId="0" borderId="33" xfId="0" applyNumberFormat="1" applyFont="1" applyBorder="1" applyAlignment="1">
      <alignment horizontal="center"/>
    </xf>
    <xf numFmtId="0" fontId="2" fillId="0" borderId="1" xfId="0" applyFont="1" applyBorder="1" applyAlignment="1">
      <alignment horizontal="center"/>
    </xf>
    <xf numFmtId="168" fontId="2" fillId="0" borderId="1" xfId="0" quotePrefix="1" applyNumberFormat="1" applyFont="1" applyBorder="1" applyAlignment="1">
      <alignment horizontal="center"/>
    </xf>
    <xf numFmtId="0" fontId="2" fillId="0" borderId="43" xfId="0" applyFont="1" applyBorder="1" applyAlignment="1">
      <alignment horizontal="left"/>
    </xf>
    <xf numFmtId="0" fontId="2" fillId="0" borderId="44" xfId="0" applyFont="1" applyBorder="1" applyAlignment="1">
      <alignment horizontal="center"/>
    </xf>
    <xf numFmtId="0" fontId="2" fillId="0" borderId="17" xfId="0" applyFont="1" applyBorder="1" applyAlignment="1">
      <alignment horizontal="center"/>
    </xf>
    <xf numFmtId="14" fontId="2" fillId="0" borderId="10" xfId="0" applyNumberFormat="1" applyFont="1" applyBorder="1"/>
    <xf numFmtId="14" fontId="2" fillId="0" borderId="42" xfId="0" applyNumberFormat="1" applyFont="1" applyBorder="1"/>
    <xf numFmtId="0" fontId="2" fillId="0" borderId="43" xfId="0" applyFont="1" applyFill="1" applyBorder="1" applyAlignment="1"/>
    <xf numFmtId="10" fontId="2" fillId="0" borderId="45" xfId="0" applyNumberFormat="1" applyFont="1" applyBorder="1" applyAlignment="1">
      <alignment horizontal="center"/>
    </xf>
    <xf numFmtId="10" fontId="2" fillId="0" borderId="17" xfId="0" applyNumberFormat="1" applyFont="1" applyBorder="1" applyAlignment="1">
      <alignment horizontal="center"/>
    </xf>
    <xf numFmtId="0" fontId="2" fillId="0" borderId="43" xfId="0" applyFont="1" applyBorder="1"/>
    <xf numFmtId="0" fontId="2" fillId="0" borderId="43" xfId="0" applyFont="1" applyFill="1" applyBorder="1"/>
    <xf numFmtId="10" fontId="2" fillId="0" borderId="45" xfId="0" applyNumberFormat="1" applyFont="1" applyFill="1" applyBorder="1" applyAlignment="1">
      <alignment horizontal="center"/>
    </xf>
    <xf numFmtId="10" fontId="2" fillId="0" borderId="17" xfId="0" applyNumberFormat="1" applyFont="1" applyFill="1" applyBorder="1" applyAlignment="1">
      <alignment horizontal="center"/>
    </xf>
    <xf numFmtId="0" fontId="2" fillId="0" borderId="1" xfId="0" applyFont="1" applyFill="1" applyBorder="1" applyAlignment="1">
      <alignment horizontal="center"/>
    </xf>
    <xf numFmtId="168" fontId="2" fillId="0" borderId="1" xfId="0" applyNumberFormat="1" applyFont="1" applyFill="1" applyBorder="1" applyAlignment="1">
      <alignment horizontal="center"/>
    </xf>
    <xf numFmtId="0" fontId="2" fillId="0" borderId="41" xfId="0" applyFont="1" applyBorder="1"/>
    <xf numFmtId="10" fontId="2" fillId="0" borderId="0" xfId="0" applyNumberFormat="1" applyFont="1"/>
    <xf numFmtId="1" fontId="2" fillId="0" borderId="0" xfId="0" applyNumberFormat="1" applyFont="1"/>
    <xf numFmtId="0" fontId="14" fillId="10" borderId="8" xfId="0" applyFont="1" applyFill="1" applyBorder="1" applyAlignment="1">
      <alignment horizontal="right"/>
    </xf>
    <xf numFmtId="0" fontId="2" fillId="10" borderId="8" xfId="0" applyFont="1" applyFill="1" applyBorder="1"/>
    <xf numFmtId="0" fontId="14" fillId="10" borderId="14" xfId="0" applyFont="1" applyFill="1" applyBorder="1" applyAlignment="1">
      <alignment horizontal="right"/>
    </xf>
    <xf numFmtId="0" fontId="2" fillId="10" borderId="14" xfId="0" applyFont="1" applyFill="1" applyBorder="1"/>
    <xf numFmtId="0" fontId="2" fillId="10" borderId="46" xfId="0" applyFont="1" applyFill="1" applyBorder="1"/>
    <xf numFmtId="0" fontId="2" fillId="10" borderId="47" xfId="0" applyFont="1" applyFill="1" applyBorder="1"/>
    <xf numFmtId="0" fontId="3" fillId="10" borderId="20" xfId="0" applyFont="1" applyFill="1" applyBorder="1" applyAlignment="1">
      <alignment horizontal="centerContinuous"/>
    </xf>
    <xf numFmtId="0" fontId="3" fillId="10" borderId="21" xfId="0" applyFont="1" applyFill="1" applyBorder="1" applyAlignment="1">
      <alignment horizontal="centerContinuous"/>
    </xf>
    <xf numFmtId="0" fontId="14" fillId="10" borderId="33" xfId="0" applyFont="1" applyFill="1" applyBorder="1" applyAlignment="1">
      <alignment horizontal="right"/>
    </xf>
    <xf numFmtId="0" fontId="2" fillId="10" borderId="33" xfId="0" applyFont="1" applyFill="1" applyBorder="1"/>
    <xf numFmtId="0" fontId="2" fillId="10" borderId="48" xfId="0" applyFont="1" applyFill="1" applyBorder="1"/>
    <xf numFmtId="0" fontId="2" fillId="10" borderId="49" xfId="0" applyFont="1" applyFill="1" applyBorder="1"/>
    <xf numFmtId="0" fontId="2" fillId="10" borderId="50" xfId="0" applyFont="1" applyFill="1" applyBorder="1"/>
    <xf numFmtId="0" fontId="2" fillId="10" borderId="35" xfId="0" applyFont="1" applyFill="1" applyBorder="1"/>
    <xf numFmtId="0" fontId="3" fillId="10" borderId="26" xfId="0" applyFont="1" applyFill="1" applyBorder="1" applyAlignment="1">
      <alignment horizontal="centerContinuous"/>
    </xf>
    <xf numFmtId="0" fontId="14" fillId="10" borderId="32" xfId="0" applyFont="1" applyFill="1" applyBorder="1" applyAlignment="1">
      <alignment horizontal="right"/>
    </xf>
    <xf numFmtId="0" fontId="2" fillId="10" borderId="32" xfId="0" applyFont="1" applyFill="1" applyBorder="1"/>
    <xf numFmtId="0" fontId="55" fillId="0" borderId="22" xfId="0" applyFont="1" applyFill="1" applyBorder="1"/>
    <xf numFmtId="0" fontId="14" fillId="0" borderId="22" xfId="0" applyFont="1" applyFill="1" applyBorder="1"/>
    <xf numFmtId="0" fontId="2" fillId="0" borderId="22" xfId="0" applyFont="1" applyFill="1" applyBorder="1"/>
    <xf numFmtId="0" fontId="3" fillId="10" borderId="51" xfId="0" applyFont="1" applyFill="1" applyBorder="1" applyAlignment="1">
      <alignment horizontal="center" vertical="center"/>
    </xf>
    <xf numFmtId="0" fontId="3" fillId="10" borderId="52" xfId="0" applyFont="1" applyFill="1" applyBorder="1" applyAlignment="1">
      <alignment horizontal="center" vertical="center"/>
    </xf>
    <xf numFmtId="0" fontId="14" fillId="10" borderId="53" xfId="0" applyFont="1" applyFill="1" applyBorder="1" applyAlignment="1">
      <alignment horizontal="center" vertical="center"/>
    </xf>
    <xf numFmtId="0" fontId="14" fillId="10" borderId="54" xfId="0" applyFont="1" applyFill="1" applyBorder="1" applyAlignment="1">
      <alignment horizontal="center" vertical="center"/>
    </xf>
    <xf numFmtId="0" fontId="56" fillId="0" borderId="0" xfId="0" applyFont="1" applyProtection="1"/>
    <xf numFmtId="0" fontId="2" fillId="0" borderId="55" xfId="0" applyFont="1" applyBorder="1" applyAlignment="1">
      <alignment shrinkToFit="1"/>
    </xf>
    <xf numFmtId="0" fontId="2" fillId="0" borderId="56" xfId="0" applyFont="1" applyBorder="1" applyAlignment="1">
      <alignment shrinkToFit="1"/>
    </xf>
    <xf numFmtId="0" fontId="0" fillId="2" borderId="8" xfId="0" applyFill="1" applyBorder="1" applyAlignment="1">
      <alignment wrapText="1"/>
    </xf>
    <xf numFmtId="0" fontId="0" fillId="2" borderId="8" xfId="0" applyFill="1" applyBorder="1" applyAlignment="1">
      <alignment horizontal="center" wrapText="1"/>
    </xf>
    <xf numFmtId="0" fontId="2" fillId="2" borderId="8" xfId="0" applyFont="1" applyFill="1" applyBorder="1" applyAlignment="1">
      <alignment horizontal="center" wrapText="1"/>
    </xf>
    <xf numFmtId="0" fontId="0" fillId="7" borderId="20" xfId="0" applyFill="1" applyBorder="1"/>
    <xf numFmtId="0" fontId="57" fillId="0" borderId="24" xfId="0" applyFont="1" applyFill="1" applyBorder="1" applyAlignment="1"/>
    <xf numFmtId="0" fontId="0" fillId="2" borderId="24" xfId="0" applyFill="1" applyBorder="1" applyAlignment="1">
      <alignment wrapText="1"/>
    </xf>
    <xf numFmtId="0" fontId="0" fillId="0" borderId="24" xfId="0" applyBorder="1" applyAlignment="1">
      <alignment vertical="center"/>
    </xf>
    <xf numFmtId="10" fontId="0" fillId="0" borderId="0" xfId="0" applyNumberFormat="1" applyBorder="1" applyAlignment="1">
      <alignment vertical="center"/>
    </xf>
    <xf numFmtId="10" fontId="0" fillId="0" borderId="0" xfId="0" applyNumberFormat="1" applyBorder="1" applyAlignment="1">
      <alignment horizontal="center" vertical="center"/>
    </xf>
    <xf numFmtId="0" fontId="0" fillId="0" borderId="0" xfId="0" applyBorder="1" applyAlignment="1">
      <alignment horizontal="center" vertical="center"/>
    </xf>
    <xf numFmtId="0" fontId="0" fillId="0" borderId="0" xfId="0" applyBorder="1" applyAlignment="1">
      <alignment vertical="center" wrapText="1"/>
    </xf>
    <xf numFmtId="0" fontId="2" fillId="0" borderId="0" xfId="0" applyFont="1" applyBorder="1" applyAlignment="1">
      <alignment horizontal="center" wrapText="1"/>
    </xf>
    <xf numFmtId="0" fontId="6" fillId="4" borderId="0" xfId="0" applyFont="1" applyFill="1" applyAlignment="1">
      <alignment wrapText="1"/>
    </xf>
    <xf numFmtId="0" fontId="39" fillId="0" borderId="1" xfId="0" applyFont="1" applyBorder="1" applyAlignment="1">
      <alignment horizontal="center"/>
    </xf>
    <xf numFmtId="10" fontId="1" fillId="0" borderId="1" xfId="0" applyNumberFormat="1" applyFont="1" applyBorder="1" applyAlignment="1">
      <alignment horizontal="center"/>
    </xf>
    <xf numFmtId="14" fontId="0" fillId="3" borderId="0" xfId="0" applyNumberFormat="1" applyFill="1"/>
    <xf numFmtId="14" fontId="0" fillId="0" borderId="0" xfId="0" applyNumberFormat="1" applyFill="1"/>
    <xf numFmtId="10" fontId="1" fillId="0" borderId="1" xfId="0" applyNumberFormat="1" applyFont="1" applyFill="1" applyBorder="1" applyAlignment="1">
      <alignment horizontal="center"/>
    </xf>
    <xf numFmtId="0" fontId="13" fillId="0" borderId="1" xfId="0" applyFont="1" applyFill="1" applyBorder="1" applyAlignment="1">
      <alignment horizontal="center" wrapText="1"/>
    </xf>
    <xf numFmtId="0" fontId="1" fillId="0" borderId="1" xfId="0" applyFont="1" applyBorder="1" applyAlignment="1">
      <alignment horizontal="center"/>
    </xf>
    <xf numFmtId="0" fontId="11" fillId="0" borderId="8" xfId="0" applyFont="1" applyFill="1" applyBorder="1" applyAlignment="1">
      <alignment horizontal="center" vertical="center" shrinkToFit="1"/>
    </xf>
    <xf numFmtId="38" fontId="0" fillId="2" borderId="13" xfId="0" applyNumberFormat="1" applyFill="1" applyBorder="1" applyAlignment="1" applyProtection="1">
      <alignment shrinkToFit="1"/>
      <protection locked="0"/>
    </xf>
    <xf numFmtId="0" fontId="6" fillId="0" borderId="8" xfId="0" applyFont="1" applyBorder="1" applyAlignment="1">
      <alignment horizontal="center"/>
    </xf>
    <xf numFmtId="0" fontId="12" fillId="0" borderId="0" xfId="0" applyFont="1" applyAlignment="1">
      <alignment vertical="center"/>
    </xf>
    <xf numFmtId="0" fontId="4" fillId="0" borderId="0" xfId="0" applyFont="1" applyAlignment="1">
      <alignment horizontal="right"/>
    </xf>
    <xf numFmtId="170" fontId="2" fillId="0" borderId="0" xfId="0" applyNumberFormat="1" applyFont="1" applyBorder="1" applyAlignment="1">
      <alignment horizontal="left" vertical="top"/>
    </xf>
    <xf numFmtId="170" fontId="2" fillId="0" borderId="0" xfId="0" applyNumberFormat="1" applyFont="1" applyAlignment="1">
      <alignment horizontal="left"/>
    </xf>
    <xf numFmtId="0" fontId="9" fillId="0" borderId="5" xfId="0" applyFont="1" applyBorder="1"/>
    <xf numFmtId="0" fontId="3" fillId="0" borderId="0" xfId="0" applyFont="1" applyBorder="1" applyAlignment="1">
      <alignment horizontal="right"/>
    </xf>
    <xf numFmtId="0" fontId="10" fillId="0" borderId="0" xfId="0" applyFont="1" applyAlignment="1">
      <alignment vertical="top" wrapText="1"/>
    </xf>
    <xf numFmtId="166" fontId="5" fillId="0" borderId="0" xfId="0" applyNumberFormat="1" applyFont="1" applyFill="1" applyAlignment="1">
      <alignment horizontal="center"/>
    </xf>
    <xf numFmtId="0" fontId="37" fillId="0" borderId="0" xfId="0" applyFont="1" applyAlignment="1">
      <alignment horizontal="justify" vertical="top" wrapText="1"/>
    </xf>
    <xf numFmtId="0" fontId="2" fillId="0" borderId="0" xfId="0" applyFont="1" applyFill="1" applyAlignment="1" applyProtection="1">
      <alignment vertical="center"/>
    </xf>
    <xf numFmtId="0" fontId="2" fillId="0" borderId="0" xfId="0" applyFont="1" applyFill="1" applyProtection="1"/>
    <xf numFmtId="0" fontId="4" fillId="0" borderId="19" xfId="0" applyFont="1" applyBorder="1"/>
    <xf numFmtId="0" fontId="13" fillId="0" borderId="13" xfId="0" applyFont="1" applyBorder="1"/>
    <xf numFmtId="0" fontId="15" fillId="0" borderId="7" xfId="0" applyFont="1" applyBorder="1"/>
    <xf numFmtId="0" fontId="2" fillId="0" borderId="20" xfId="0" applyFont="1" applyBorder="1"/>
    <xf numFmtId="0" fontId="21" fillId="0" borderId="13" xfId="0" applyFont="1" applyBorder="1"/>
    <xf numFmtId="0" fontId="59" fillId="0" borderId="3" xfId="0" applyFont="1" applyBorder="1"/>
    <xf numFmtId="0" fontId="59" fillId="0" borderId="14" xfId="0" applyFont="1" applyBorder="1" applyAlignment="1">
      <alignment vertical="top"/>
    </xf>
    <xf numFmtId="0" fontId="59" fillId="0" borderId="14" xfId="0" applyFont="1" applyBorder="1"/>
    <xf numFmtId="0" fontId="59" fillId="0" borderId="14" xfId="0" applyFont="1" applyBorder="1" applyAlignment="1">
      <alignment horizontal="right" vertical="top"/>
    </xf>
    <xf numFmtId="0" fontId="59" fillId="0" borderId="5" xfId="0" applyFont="1" applyBorder="1"/>
    <xf numFmtId="0" fontId="59" fillId="0" borderId="8" xfId="0" applyFont="1" applyBorder="1"/>
    <xf numFmtId="0" fontId="59" fillId="0" borderId="4" xfId="0" applyFont="1" applyBorder="1"/>
    <xf numFmtId="0" fontId="59" fillId="0" borderId="14" xfId="0" applyFont="1" applyBorder="1" applyAlignment="1">
      <alignment horizontal="right"/>
    </xf>
    <xf numFmtId="38" fontId="0" fillId="6" borderId="12" xfId="0" applyNumberFormat="1" applyFill="1" applyBorder="1"/>
    <xf numFmtId="0" fontId="0" fillId="6" borderId="13" xfId="0" applyFill="1" applyBorder="1"/>
    <xf numFmtId="0" fontId="3" fillId="0" borderId="57" xfId="0" applyFont="1" applyBorder="1"/>
    <xf numFmtId="0" fontId="3" fillId="0" borderId="58" xfId="0" applyFont="1" applyBorder="1"/>
    <xf numFmtId="0" fontId="15" fillId="0" borderId="59" xfId="0" applyFont="1" applyBorder="1"/>
    <xf numFmtId="0" fontId="59" fillId="6" borderId="14" xfId="0" applyFont="1" applyFill="1" applyBorder="1"/>
    <xf numFmtId="38" fontId="0" fillId="6" borderId="13" xfId="0" applyNumberFormat="1" applyFill="1" applyBorder="1"/>
    <xf numFmtId="0" fontId="0" fillId="6" borderId="12" xfId="0" applyFill="1" applyBorder="1"/>
    <xf numFmtId="0" fontId="6" fillId="6" borderId="13" xfId="0" applyFont="1" applyFill="1" applyBorder="1"/>
    <xf numFmtId="38" fontId="0" fillId="2" borderId="5" xfId="0" applyNumberFormat="1" applyFill="1" applyBorder="1" applyAlignment="1" applyProtection="1">
      <alignment shrinkToFit="1"/>
      <protection locked="0"/>
    </xf>
    <xf numFmtId="38" fontId="0" fillId="2" borderId="39" xfId="0" applyNumberFormat="1" applyFill="1" applyBorder="1" applyAlignment="1" applyProtection="1">
      <alignment shrinkToFit="1"/>
      <protection locked="0"/>
    </xf>
    <xf numFmtId="38" fontId="0" fillId="2" borderId="12" xfId="0" applyNumberFormat="1" applyFill="1" applyBorder="1" applyAlignment="1" applyProtection="1">
      <alignment shrinkToFit="1"/>
      <protection locked="0"/>
    </xf>
    <xf numFmtId="38" fontId="0" fillId="2" borderId="18" xfId="0" applyNumberFormat="1" applyFill="1" applyBorder="1" applyAlignment="1" applyProtection="1">
      <alignment shrinkToFit="1"/>
      <protection locked="0"/>
    </xf>
    <xf numFmtId="0" fontId="0" fillId="2" borderId="8" xfId="0" applyFill="1" applyBorder="1" applyAlignment="1" applyProtection="1">
      <alignment shrinkToFit="1"/>
      <protection locked="0"/>
    </xf>
    <xf numFmtId="38" fontId="0" fillId="0" borderId="7" xfId="0" applyNumberFormat="1" applyBorder="1" applyAlignment="1">
      <alignment shrinkToFit="1"/>
    </xf>
    <xf numFmtId="38" fontId="0" fillId="0" borderId="12" xfId="0" applyNumberFormat="1" applyBorder="1" applyAlignment="1">
      <alignment shrinkToFit="1"/>
    </xf>
    <xf numFmtId="0" fontId="21" fillId="0" borderId="13" xfId="0" applyFont="1" applyFill="1" applyBorder="1"/>
    <xf numFmtId="0" fontId="58" fillId="0" borderId="4" xfId="0" applyFont="1" applyFill="1" applyBorder="1"/>
    <xf numFmtId="38" fontId="61" fillId="0" borderId="8" xfId="0" applyNumberFormat="1" applyFont="1" applyFill="1" applyBorder="1"/>
    <xf numFmtId="0" fontId="9" fillId="0" borderId="0" xfId="0" applyFont="1" applyAlignment="1">
      <alignment shrinkToFit="1"/>
    </xf>
    <xf numFmtId="166" fontId="9" fillId="0" borderId="0" xfId="0" applyNumberFormat="1" applyFont="1" applyAlignment="1">
      <alignment shrinkToFit="1"/>
    </xf>
    <xf numFmtId="0" fontId="19" fillId="0" borderId="0" xfId="0" applyFont="1" applyBorder="1" applyAlignment="1">
      <alignment vertical="top"/>
    </xf>
    <xf numFmtId="0" fontId="3" fillId="0" borderId="14" xfId="0" applyFont="1" applyBorder="1" applyAlignment="1">
      <alignment horizontal="right"/>
    </xf>
    <xf numFmtId="0" fontId="9" fillId="0" borderId="8" xfId="0" applyFont="1" applyBorder="1"/>
    <xf numFmtId="0" fontId="9" fillId="0" borderId="0" xfId="0" applyFont="1" applyBorder="1" applyAlignment="1">
      <alignment shrinkToFit="1"/>
    </xf>
    <xf numFmtId="0" fontId="3" fillId="0" borderId="14" xfId="0" applyFont="1" applyBorder="1"/>
    <xf numFmtId="0" fontId="30" fillId="5" borderId="0" xfId="0" applyFont="1" applyFill="1"/>
    <xf numFmtId="0" fontId="62" fillId="5" borderId="0" xfId="0" applyFont="1" applyFill="1"/>
    <xf numFmtId="0" fontId="59" fillId="0" borderId="0" xfId="0" applyFont="1"/>
    <xf numFmtId="0" fontId="9" fillId="0" borderId="8" xfId="0" applyFont="1" applyFill="1" applyBorder="1"/>
    <xf numFmtId="0" fontId="9" fillId="0" borderId="50" xfId="0" applyFont="1" applyFill="1" applyBorder="1"/>
    <xf numFmtId="0" fontId="3" fillId="0" borderId="14" xfId="0" applyFont="1" applyBorder="1" applyAlignment="1">
      <alignment vertical="top"/>
    </xf>
    <xf numFmtId="169" fontId="9" fillId="0" borderId="39" xfId="0" applyNumberFormat="1" applyFont="1" applyBorder="1" applyAlignment="1">
      <alignment horizontal="center" shrinkToFit="1"/>
    </xf>
    <xf numFmtId="0" fontId="9" fillId="0" borderId="5" xfId="0" applyFont="1" applyBorder="1" applyAlignment="1">
      <alignment horizontal="center" wrapText="1" shrinkToFit="1"/>
    </xf>
    <xf numFmtId="0" fontId="9" fillId="0" borderId="39" xfId="0" applyFont="1" applyBorder="1" applyAlignment="1">
      <alignment horizontal="center" wrapText="1" shrinkToFit="1"/>
    </xf>
    <xf numFmtId="0" fontId="9" fillId="0" borderId="52" xfId="0" applyFont="1" applyBorder="1" applyAlignment="1">
      <alignment horizontal="center" wrapText="1" shrinkToFit="1"/>
    </xf>
    <xf numFmtId="0" fontId="9" fillId="0" borderId="3" xfId="0" applyFont="1" applyBorder="1" applyAlignment="1">
      <alignment horizontal="center" wrapText="1" shrinkToFit="1"/>
    </xf>
    <xf numFmtId="0" fontId="11" fillId="0" borderId="5" xfId="0" applyFont="1" applyBorder="1" applyAlignment="1">
      <alignment horizontal="center" wrapText="1" shrinkToFit="1"/>
    </xf>
    <xf numFmtId="0" fontId="3" fillId="0" borderId="8" xfId="0" applyFont="1" applyBorder="1" applyAlignment="1">
      <alignment horizontal="center"/>
    </xf>
    <xf numFmtId="0" fontId="3" fillId="0" borderId="8" xfId="0" applyFont="1" applyBorder="1" applyAlignment="1">
      <alignment horizontal="center" shrinkToFit="1"/>
    </xf>
    <xf numFmtId="0" fontId="3" fillId="0" borderId="17" xfId="0" applyFont="1" applyBorder="1"/>
    <xf numFmtId="0" fontId="3" fillId="0" borderId="3" xfId="0" applyFont="1" applyBorder="1" applyAlignment="1">
      <alignment horizontal="right"/>
    </xf>
    <xf numFmtId="0" fontId="9" fillId="0" borderId="50" xfId="0" applyFont="1" applyBorder="1"/>
    <xf numFmtId="0" fontId="3" fillId="0" borderId="13" xfId="0" applyFont="1" applyBorder="1" applyAlignment="1">
      <alignment horizontal="center"/>
    </xf>
    <xf numFmtId="0" fontId="11" fillId="0" borderId="39" xfId="0" applyFont="1" applyBorder="1" applyAlignment="1">
      <alignment horizontal="center" wrapText="1" shrinkToFit="1"/>
    </xf>
    <xf numFmtId="0" fontId="9" fillId="0" borderId="18" xfId="0" applyFont="1" applyBorder="1"/>
    <xf numFmtId="0" fontId="9" fillId="0" borderId="18" xfId="0" applyFont="1" applyFill="1" applyBorder="1"/>
    <xf numFmtId="0" fontId="3" fillId="0" borderId="13" xfId="0" applyFont="1" applyBorder="1" applyAlignment="1">
      <alignment horizontal="center" shrinkToFit="1"/>
    </xf>
    <xf numFmtId="166" fontId="3" fillId="0" borderId="14" xfId="0" applyNumberFormat="1" applyFont="1" applyBorder="1" applyAlignment="1">
      <alignment horizontal="center" shrinkToFit="1"/>
    </xf>
    <xf numFmtId="166" fontId="3" fillId="0" borderId="60" xfId="0" applyNumberFormat="1" applyFont="1" applyBorder="1" applyAlignment="1">
      <alignment horizontal="center" shrinkToFit="1"/>
    </xf>
    <xf numFmtId="169" fontId="9" fillId="0" borderId="0" xfId="0" applyNumberFormat="1" applyFont="1"/>
    <xf numFmtId="0" fontId="6" fillId="0" borderId="8" xfId="0" applyFont="1" applyFill="1" applyBorder="1" applyAlignment="1">
      <alignment horizontal="center"/>
    </xf>
    <xf numFmtId="0" fontId="21" fillId="0" borderId="8" xfId="0" applyFont="1" applyBorder="1" applyAlignment="1">
      <alignment shrinkToFit="1"/>
    </xf>
    <xf numFmtId="169" fontId="2" fillId="0" borderId="8" xfId="3" applyNumberFormat="1" applyFont="1" applyFill="1" applyBorder="1"/>
    <xf numFmtId="0" fontId="6" fillId="0" borderId="0" xfId="0" applyFont="1" applyFill="1"/>
    <xf numFmtId="0" fontId="0" fillId="0" borderId="2" xfId="0" applyFill="1" applyBorder="1"/>
    <xf numFmtId="0" fontId="7" fillId="0" borderId="1" xfId="0" applyFont="1" applyBorder="1" applyAlignment="1">
      <alignment horizontal="center"/>
    </xf>
    <xf numFmtId="38" fontId="9" fillId="2" borderId="27" xfId="0" applyNumberFormat="1" applyFont="1" applyFill="1" applyBorder="1" applyAlignment="1" applyProtection="1">
      <alignment shrinkToFit="1"/>
      <protection locked="0"/>
    </xf>
    <xf numFmtId="38" fontId="2" fillId="2" borderId="63" xfId="0" applyNumberFormat="1" applyFont="1" applyFill="1" applyBorder="1" applyAlignment="1" applyProtection="1">
      <alignment shrinkToFit="1"/>
      <protection locked="0"/>
    </xf>
    <xf numFmtId="38" fontId="2" fillId="0" borderId="64" xfId="0" applyNumberFormat="1" applyFont="1" applyFill="1" applyBorder="1" applyAlignment="1" applyProtection="1">
      <alignment shrinkToFit="1"/>
    </xf>
    <xf numFmtId="0" fontId="2" fillId="0" borderId="0" xfId="0" applyFont="1" applyAlignment="1">
      <alignment horizontal="justify" vertical="center" wrapText="1"/>
    </xf>
    <xf numFmtId="169" fontId="9" fillId="0" borderId="50" xfId="3" applyNumberFormat="1" applyFont="1" applyBorder="1" applyAlignment="1">
      <alignment horizontal="center"/>
    </xf>
    <xf numFmtId="0" fontId="4" fillId="0" borderId="0" xfId="0" applyFont="1" applyProtection="1"/>
    <xf numFmtId="0" fontId="49" fillId="0" borderId="0" xfId="0" applyFont="1" applyFill="1" applyBorder="1" applyAlignment="1" applyProtection="1">
      <alignment horizontal="center"/>
    </xf>
    <xf numFmtId="0" fontId="7" fillId="0" borderId="0" xfId="0" applyFont="1" applyProtection="1"/>
    <xf numFmtId="0" fontId="64" fillId="0" borderId="0" xfId="0" applyFont="1"/>
    <xf numFmtId="0" fontId="2" fillId="0" borderId="0" xfId="0" applyFont="1" applyAlignment="1">
      <alignment horizontal="justify" wrapText="1"/>
    </xf>
    <xf numFmtId="0" fontId="65" fillId="0" borderId="0" xfId="0" applyFont="1" applyAlignment="1">
      <alignment horizontal="right"/>
    </xf>
    <xf numFmtId="0" fontId="66" fillId="0" borderId="0" xfId="0" applyFont="1"/>
    <xf numFmtId="0" fontId="66" fillId="0" borderId="0" xfId="0" applyFont="1" applyAlignment="1">
      <alignment horizontal="right"/>
    </xf>
    <xf numFmtId="37" fontId="2" fillId="0" borderId="1" xfId="0" applyNumberFormat="1" applyFont="1" applyBorder="1" applyAlignment="1">
      <alignment vertical="center" shrinkToFit="1"/>
    </xf>
    <xf numFmtId="0" fontId="10" fillId="0" borderId="1" xfId="0" applyFont="1" applyBorder="1" applyAlignment="1">
      <alignment horizontal="justify" vertical="center"/>
    </xf>
    <xf numFmtId="0" fontId="67" fillId="0" borderId="0" xfId="0" applyFont="1" applyAlignment="1">
      <alignment horizontal="right" vertical="top"/>
    </xf>
    <xf numFmtId="0" fontId="10" fillId="8" borderId="8" xfId="0" applyFont="1" applyFill="1" applyBorder="1" applyAlignment="1">
      <alignment horizontal="center" vertical="center" shrinkToFit="1"/>
    </xf>
    <xf numFmtId="0" fontId="10" fillId="8" borderId="8" xfId="0" applyFont="1" applyFill="1" applyBorder="1" applyAlignment="1">
      <alignment horizontal="center" shrinkToFit="1"/>
    </xf>
    <xf numFmtId="0" fontId="10" fillId="8" borderId="8" xfId="0" applyFont="1" applyFill="1" applyBorder="1" applyAlignment="1">
      <alignment horizontal="center" wrapText="1"/>
    </xf>
    <xf numFmtId="0" fontId="10" fillId="8" borderId="14" xfId="0" applyFont="1" applyFill="1" applyBorder="1" applyAlignment="1">
      <alignment horizontal="center" vertical="center" shrinkToFit="1"/>
    </xf>
    <xf numFmtId="0" fontId="10" fillId="0" borderId="0" xfId="0" applyFont="1" applyAlignment="1">
      <alignment horizontal="right"/>
    </xf>
    <xf numFmtId="0" fontId="13" fillId="0" borderId="0" xfId="0" applyFont="1" applyFill="1" applyAlignment="1">
      <alignment horizontal="right"/>
    </xf>
    <xf numFmtId="0" fontId="10" fillId="0" borderId="1" xfId="0" applyFont="1" applyBorder="1" applyAlignment="1">
      <alignment horizontal="center"/>
    </xf>
    <xf numFmtId="0" fontId="10" fillId="0" borderId="1" xfId="0" applyFont="1" applyBorder="1" applyAlignment="1">
      <alignment horizontal="center" wrapText="1"/>
    </xf>
    <xf numFmtId="0" fontId="68" fillId="0" borderId="1" xfId="0" applyFont="1" applyBorder="1" applyAlignment="1">
      <alignment horizontal="center" wrapText="1"/>
    </xf>
    <xf numFmtId="0" fontId="14" fillId="0" borderId="0" xfId="0" applyFont="1" applyAlignment="1">
      <alignment vertical="top" wrapText="1"/>
    </xf>
    <xf numFmtId="169" fontId="6" fillId="0" borderId="1" xfId="0" applyNumberFormat="1" applyFont="1" applyFill="1" applyBorder="1" applyAlignment="1">
      <alignment horizontal="center" shrinkToFit="1"/>
    </xf>
    <xf numFmtId="0" fontId="5" fillId="0" borderId="0" xfId="0" applyFont="1" applyBorder="1" applyAlignment="1">
      <alignment horizontal="center"/>
    </xf>
    <xf numFmtId="164" fontId="12" fillId="0" borderId="0" xfId="0" applyNumberFormat="1" applyFont="1" applyAlignment="1">
      <alignment horizontal="right"/>
    </xf>
    <xf numFmtId="0" fontId="11" fillId="0" borderId="0" xfId="0" applyFont="1"/>
    <xf numFmtId="0" fontId="3" fillId="0" borderId="0" xfId="0" applyFont="1" applyFill="1" applyBorder="1" applyAlignment="1">
      <alignment horizontal="center" shrinkToFit="1"/>
    </xf>
    <xf numFmtId="0" fontId="9" fillId="0" borderId="15" xfId="0" applyFont="1" applyBorder="1" applyAlignment="1">
      <alignment horizontal="center" wrapText="1"/>
    </xf>
    <xf numFmtId="0" fontId="9" fillId="0" borderId="16" xfId="0" applyFont="1" applyBorder="1" applyAlignment="1">
      <alignment horizontal="center" wrapText="1"/>
    </xf>
    <xf numFmtId="0" fontId="10" fillId="0" borderId="7" xfId="0" applyFont="1" applyBorder="1"/>
    <xf numFmtId="0" fontId="10" fillId="0" borderId="0" xfId="0" applyFont="1" applyAlignment="1"/>
    <xf numFmtId="0" fontId="10" fillId="0" borderId="7" xfId="0" applyFont="1" applyBorder="1" applyAlignment="1"/>
    <xf numFmtId="167" fontId="6" fillId="0" borderId="0" xfId="0" applyNumberFormat="1" applyFont="1" applyFill="1" applyBorder="1" applyAlignment="1">
      <alignment horizontal="center"/>
    </xf>
    <xf numFmtId="167" fontId="6" fillId="0" borderId="0" xfId="0" applyNumberFormat="1" applyFont="1" applyFill="1" applyBorder="1" applyAlignment="1">
      <alignment horizontal="left"/>
    </xf>
    <xf numFmtId="167" fontId="49" fillId="0" borderId="0" xfId="0" applyNumberFormat="1" applyFont="1" applyFill="1" applyBorder="1" applyAlignment="1">
      <alignment horizontal="left"/>
    </xf>
    <xf numFmtId="0" fontId="10" fillId="0" borderId="0" xfId="0" applyFont="1" applyBorder="1"/>
    <xf numFmtId="0" fontId="12" fillId="0" borderId="0" xfId="0" applyFont="1" applyBorder="1"/>
    <xf numFmtId="0" fontId="11" fillId="0" borderId="0" xfId="0" applyFont="1" applyBorder="1"/>
    <xf numFmtId="0" fontId="69" fillId="0" borderId="0" xfId="0" applyFont="1" applyAlignment="1">
      <alignment horizontal="right"/>
    </xf>
    <xf numFmtId="0" fontId="10" fillId="0" borderId="0" xfId="0" applyFont="1" applyFill="1" applyBorder="1"/>
    <xf numFmtId="0" fontId="10" fillId="0" borderId="0" xfId="0" applyFont="1" applyFill="1" applyBorder="1" applyProtection="1"/>
    <xf numFmtId="0" fontId="10" fillId="0" borderId="0" xfId="0" applyFont="1" applyBorder="1" applyAlignment="1">
      <alignment horizontal="center" vertical="center" wrapText="1"/>
    </xf>
    <xf numFmtId="0" fontId="19" fillId="0" borderId="0" xfId="0" applyFont="1" applyBorder="1" applyAlignment="1"/>
    <xf numFmtId="0" fontId="2" fillId="0" borderId="0" xfId="0" applyFont="1" applyFill="1" applyBorder="1" applyAlignment="1">
      <alignment vertical="top"/>
    </xf>
    <xf numFmtId="0" fontId="11" fillId="0" borderId="0" xfId="0" applyFont="1" applyBorder="1" applyAlignment="1">
      <alignment horizontal="center" vertical="center"/>
    </xf>
    <xf numFmtId="0" fontId="0" fillId="0" borderId="17" xfId="0" applyBorder="1"/>
    <xf numFmtId="0" fontId="71" fillId="0" borderId="0" xfId="0" applyFont="1" applyAlignment="1">
      <alignment shrinkToFit="1"/>
    </xf>
    <xf numFmtId="166" fontId="71" fillId="0" borderId="0" xfId="0" applyNumberFormat="1" applyFont="1" applyBorder="1" applyAlignment="1">
      <alignment shrinkToFit="1"/>
    </xf>
    <xf numFmtId="0" fontId="71" fillId="0" borderId="0" xfId="0" applyFont="1"/>
    <xf numFmtId="0" fontId="71" fillId="0" borderId="0" xfId="0" applyFont="1" applyBorder="1" applyAlignment="1">
      <alignment vertical="center" wrapText="1"/>
    </xf>
    <xf numFmtId="0" fontId="72" fillId="0" borderId="0" xfId="0" applyFont="1" applyBorder="1" applyAlignment="1">
      <alignment horizontal="center" vertical="center"/>
    </xf>
    <xf numFmtId="0" fontId="59" fillId="0" borderId="0" xfId="0" applyFont="1" applyAlignment="1">
      <alignment horizontal="right"/>
    </xf>
    <xf numFmtId="0" fontId="63" fillId="0" borderId="0" xfId="0" applyFont="1"/>
    <xf numFmtId="164" fontId="59" fillId="0" borderId="0" xfId="0" applyNumberFormat="1" applyFont="1" applyAlignment="1">
      <alignment horizontal="right"/>
    </xf>
    <xf numFmtId="0" fontId="21" fillId="0" borderId="0" xfId="0" applyFont="1"/>
    <xf numFmtId="0" fontId="58" fillId="0" borderId="0" xfId="0" applyFont="1" applyAlignment="1">
      <alignment horizontal="right"/>
    </xf>
    <xf numFmtId="0" fontId="58" fillId="0" borderId="0" xfId="0" applyFont="1"/>
    <xf numFmtId="0" fontId="0" fillId="0" borderId="65" xfId="0" applyBorder="1"/>
    <xf numFmtId="0" fontId="0" fillId="0" borderId="66" xfId="0" applyBorder="1"/>
    <xf numFmtId="0" fontId="0" fillId="0" borderId="67" xfId="0" applyBorder="1"/>
    <xf numFmtId="0" fontId="0" fillId="0" borderId="68" xfId="0" applyBorder="1"/>
    <xf numFmtId="0" fontId="0" fillId="0" borderId="69" xfId="0" applyBorder="1"/>
    <xf numFmtId="37" fontId="5" fillId="0" borderId="68" xfId="0" applyNumberFormat="1" applyFont="1" applyFill="1" applyBorder="1"/>
    <xf numFmtId="37" fontId="5" fillId="0" borderId="0" xfId="0" applyNumberFormat="1" applyFont="1" applyFill="1" applyBorder="1"/>
    <xf numFmtId="37" fontId="5" fillId="0" borderId="69" xfId="0" applyNumberFormat="1" applyFont="1" applyFill="1" applyBorder="1"/>
    <xf numFmtId="0" fontId="0" fillId="0" borderId="0" xfId="0" applyFill="1" applyAlignment="1"/>
    <xf numFmtId="0" fontId="6" fillId="0" borderId="0" xfId="0" applyFont="1" applyAlignment="1"/>
    <xf numFmtId="0" fontId="0" fillId="9" borderId="0" xfId="0" applyFill="1"/>
    <xf numFmtId="1" fontId="0" fillId="0" borderId="0" xfId="0" applyNumberFormat="1"/>
    <xf numFmtId="0" fontId="0" fillId="0" borderId="0" xfId="0" applyFill="1" applyBorder="1" applyAlignment="1" applyProtection="1">
      <alignment horizontal="center"/>
      <protection locked="0"/>
    </xf>
    <xf numFmtId="0" fontId="13" fillId="0" borderId="0" xfId="0" applyFont="1" applyFill="1" applyAlignment="1">
      <alignment wrapText="1"/>
    </xf>
    <xf numFmtId="0" fontId="0" fillId="0" borderId="0" xfId="0" applyAlignment="1" applyProtection="1">
      <alignment horizontal="center"/>
      <protection locked="0"/>
    </xf>
    <xf numFmtId="172" fontId="0" fillId="2" borderId="8" xfId="0" applyNumberFormat="1" applyFill="1" applyBorder="1" applyAlignment="1" applyProtection="1">
      <alignment horizontal="center" shrinkToFit="1"/>
      <protection locked="0"/>
    </xf>
    <xf numFmtId="38" fontId="2" fillId="0" borderId="62" xfId="0" applyNumberFormat="1" applyFont="1" applyFill="1" applyBorder="1" applyAlignment="1" applyProtection="1">
      <alignment shrinkToFit="1"/>
    </xf>
    <xf numFmtId="38" fontId="2" fillId="0" borderId="27" xfId="0" applyNumberFormat="1" applyFont="1" applyFill="1" applyBorder="1" applyAlignment="1" applyProtection="1">
      <alignment shrinkToFit="1"/>
    </xf>
    <xf numFmtId="38" fontId="0" fillId="0" borderId="13" xfId="0" applyNumberFormat="1" applyBorder="1"/>
    <xf numFmtId="0" fontId="6" fillId="0" borderId="10" xfId="0" applyFont="1" applyBorder="1"/>
    <xf numFmtId="38" fontId="0" fillId="0" borderId="0" xfId="0" applyNumberFormat="1" applyFill="1" applyBorder="1" applyProtection="1"/>
    <xf numFmtId="38" fontId="0" fillId="0" borderId="8" xfId="0" applyNumberFormat="1" applyFill="1" applyBorder="1" applyProtection="1"/>
    <xf numFmtId="0" fontId="0" fillId="0" borderId="0" xfId="0" applyFont="1" applyFill="1" applyAlignment="1">
      <alignment wrapText="1"/>
    </xf>
    <xf numFmtId="38" fontId="0" fillId="0" borderId="6" xfId="0" applyNumberFormat="1" applyBorder="1"/>
    <xf numFmtId="0" fontId="10" fillId="11" borderId="8" xfId="0" applyFont="1" applyFill="1" applyBorder="1" applyAlignment="1">
      <alignment horizontal="center" shrinkToFit="1"/>
    </xf>
    <xf numFmtId="0" fontId="10" fillId="11" borderId="8" xfId="0" applyFont="1" applyFill="1" applyBorder="1" applyAlignment="1">
      <alignment horizontal="center" vertical="center" shrinkToFit="1"/>
    </xf>
    <xf numFmtId="0" fontId="10" fillId="11" borderId="8" xfId="0" applyFont="1" applyFill="1" applyBorder="1" applyAlignment="1">
      <alignment horizontal="center" wrapText="1"/>
    </xf>
    <xf numFmtId="0" fontId="10" fillId="11" borderId="14" xfId="0" applyFont="1" applyFill="1" applyBorder="1" applyAlignment="1">
      <alignment horizontal="center" vertical="center" shrinkToFit="1"/>
    </xf>
    <xf numFmtId="0" fontId="10" fillId="0" borderId="13" xfId="0" applyFont="1" applyBorder="1" applyAlignment="1">
      <alignment horizontal="center" wrapText="1" shrinkToFit="1"/>
    </xf>
    <xf numFmtId="165" fontId="2" fillId="0" borderId="45" xfId="0" applyNumberFormat="1" applyFont="1" applyBorder="1" applyAlignment="1">
      <alignment horizontal="center"/>
    </xf>
    <xf numFmtId="14" fontId="2" fillId="0" borderId="10" xfId="0" applyNumberFormat="1" applyFont="1" applyFill="1" applyBorder="1"/>
    <xf numFmtId="14" fontId="2" fillId="0" borderId="42" xfId="0" applyNumberFormat="1" applyFont="1" applyFill="1" applyBorder="1"/>
    <xf numFmtId="168" fontId="2" fillId="0" borderId="1" xfId="0" quotePrefix="1" applyNumberFormat="1" applyFont="1" applyFill="1" applyBorder="1" applyAlignment="1">
      <alignment horizontal="center"/>
    </xf>
    <xf numFmtId="10" fontId="13" fillId="0" borderId="1" xfId="0" applyNumberFormat="1" applyFont="1" applyFill="1" applyBorder="1" applyAlignment="1">
      <alignment horizontal="center" wrapText="1"/>
    </xf>
    <xf numFmtId="165" fontId="21" fillId="0" borderId="1" xfId="0" applyNumberFormat="1" applyFont="1" applyFill="1" applyBorder="1" applyAlignment="1">
      <alignment horizontal="center"/>
    </xf>
    <xf numFmtId="0" fontId="13" fillId="0" borderId="1" xfId="0" applyFont="1" applyFill="1" applyBorder="1" applyAlignment="1">
      <alignment horizontal="center"/>
    </xf>
    <xf numFmtId="0" fontId="13" fillId="0" borderId="0" xfId="0" applyFont="1" applyFill="1" applyAlignment="1"/>
    <xf numFmtId="0" fontId="2" fillId="0" borderId="1" xfId="0" applyFont="1" applyFill="1" applyBorder="1"/>
    <xf numFmtId="0" fontId="10" fillId="12" borderId="8" xfId="0" applyFont="1" applyFill="1" applyBorder="1" applyAlignment="1">
      <alignment horizontal="center" shrinkToFit="1"/>
    </xf>
    <xf numFmtId="0" fontId="10" fillId="12" borderId="8" xfId="0" applyFont="1" applyFill="1" applyBorder="1" applyAlignment="1">
      <alignment horizontal="center" vertical="center" shrinkToFit="1"/>
    </xf>
    <xf numFmtId="0" fontId="10" fillId="12" borderId="8" xfId="0" applyFont="1" applyFill="1" applyBorder="1" applyAlignment="1">
      <alignment horizontal="center" wrapText="1"/>
    </xf>
    <xf numFmtId="0" fontId="2" fillId="0" borderId="0" xfId="2" applyFont="1" applyBorder="1" applyAlignment="1">
      <alignment horizontal="center" vertical="center" wrapText="1"/>
    </xf>
    <xf numFmtId="0" fontId="28" fillId="0" borderId="17" xfId="2" applyFont="1" applyBorder="1" applyAlignment="1">
      <alignment horizontal="left"/>
    </xf>
    <xf numFmtId="0" fontId="13" fillId="0" borderId="0" xfId="2"/>
    <xf numFmtId="0" fontId="2" fillId="0" borderId="7" xfId="2" applyFont="1" applyBorder="1"/>
    <xf numFmtId="0" fontId="6" fillId="0" borderId="8" xfId="2" applyFont="1" applyBorder="1" applyAlignment="1">
      <alignment horizontal="center"/>
    </xf>
    <xf numFmtId="0" fontId="6" fillId="0" borderId="13" xfId="2" applyFont="1" applyBorder="1" applyAlignment="1">
      <alignment horizontal="center"/>
    </xf>
    <xf numFmtId="0" fontId="13" fillId="13" borderId="8" xfId="2" applyFont="1" applyFill="1" applyBorder="1" applyAlignment="1" applyProtection="1">
      <alignment horizontal="center" wrapText="1"/>
      <protection locked="0"/>
    </xf>
    <xf numFmtId="0" fontId="13" fillId="13" borderId="13" xfId="2" applyFont="1" applyFill="1" applyBorder="1" applyAlignment="1" applyProtection="1">
      <alignment horizontal="center" wrapText="1"/>
      <protection locked="0"/>
    </xf>
    <xf numFmtId="0" fontId="10" fillId="0" borderId="8" xfId="2" applyFont="1" applyBorder="1" applyAlignment="1">
      <alignment vertical="center" shrinkToFit="1"/>
    </xf>
    <xf numFmtId="164" fontId="3" fillId="0" borderId="8" xfId="2" applyNumberFormat="1" applyFont="1" applyBorder="1" applyAlignment="1">
      <alignment horizontal="right"/>
    </xf>
    <xf numFmtId="37" fontId="13" fillId="2" borderId="8" xfId="2" applyNumberFormat="1" applyFill="1" applyBorder="1" applyAlignment="1" applyProtection="1">
      <alignment shrinkToFit="1"/>
      <protection locked="0"/>
    </xf>
    <xf numFmtId="37" fontId="13" fillId="2" borderId="13" xfId="2" applyNumberFormat="1" applyFill="1" applyBorder="1" applyAlignment="1" applyProtection="1">
      <alignment shrinkToFit="1"/>
      <protection locked="0"/>
    </xf>
    <xf numFmtId="0" fontId="10" fillId="6" borderId="8" xfId="2" applyFont="1" applyFill="1" applyBorder="1" applyAlignment="1">
      <alignment vertical="center" shrinkToFit="1"/>
    </xf>
    <xf numFmtId="37" fontId="13" fillId="0" borderId="8" xfId="2" applyNumberFormat="1" applyFill="1" applyBorder="1" applyAlignment="1" applyProtection="1">
      <alignment shrinkToFit="1"/>
    </xf>
    <xf numFmtId="37" fontId="13" fillId="0" borderId="13" xfId="2" applyNumberFormat="1" applyFill="1" applyBorder="1" applyAlignment="1" applyProtection="1">
      <alignment shrinkToFit="1"/>
    </xf>
    <xf numFmtId="0" fontId="10" fillId="0" borderId="8" xfId="2" applyFont="1" applyBorder="1" applyAlignment="1">
      <alignment horizontal="center" vertical="center" shrinkToFit="1"/>
    </xf>
    <xf numFmtId="0" fontId="13" fillId="0" borderId="0" xfId="2" applyBorder="1"/>
    <xf numFmtId="37" fontId="13" fillId="0" borderId="13" xfId="2" applyNumberFormat="1" applyBorder="1"/>
    <xf numFmtId="37" fontId="10" fillId="0" borderId="8" xfId="2" applyNumberFormat="1" applyFont="1" applyBorder="1" applyAlignment="1">
      <alignment vertical="center" shrinkToFit="1"/>
    </xf>
    <xf numFmtId="0" fontId="6" fillId="0" borderId="0" xfId="0" applyFont="1" applyAlignment="1">
      <alignment horizontal="left"/>
    </xf>
    <xf numFmtId="0" fontId="13" fillId="0" borderId="0" xfId="0" applyFont="1" applyProtection="1"/>
    <xf numFmtId="0" fontId="2" fillId="0" borderId="0" xfId="0" applyFont="1" applyAlignment="1" applyProtection="1">
      <alignment vertical="top"/>
    </xf>
    <xf numFmtId="170" fontId="2" fillId="0" borderId="0" xfId="0" applyNumberFormat="1" applyFont="1" applyBorder="1" applyAlignment="1">
      <alignment horizontal="left"/>
    </xf>
    <xf numFmtId="0" fontId="2" fillId="0" borderId="0" xfId="0" applyFont="1" applyAlignment="1">
      <alignment horizontal="center" vertical="top"/>
    </xf>
    <xf numFmtId="0" fontId="3" fillId="0" borderId="0" xfId="0" applyFont="1" applyAlignment="1">
      <alignment vertical="top"/>
    </xf>
    <xf numFmtId="0" fontId="13" fillId="0" borderId="0" xfId="0" applyFont="1"/>
    <xf numFmtId="0" fontId="10" fillId="0" borderId="1" xfId="0" applyFont="1" applyFill="1" applyBorder="1" applyAlignment="1">
      <alignment horizontal="center"/>
    </xf>
    <xf numFmtId="0" fontId="0" fillId="0" borderId="1" xfId="0" applyFill="1" applyBorder="1"/>
    <xf numFmtId="0" fontId="7" fillId="0" borderId="1" xfId="0" applyFont="1" applyFill="1" applyBorder="1" applyAlignment="1">
      <alignment horizontal="center"/>
    </xf>
    <xf numFmtId="168" fontId="0" fillId="0" borderId="1" xfId="0" quotePrefix="1" applyNumberFormat="1" applyFill="1" applyBorder="1" applyAlignment="1">
      <alignment horizontal="center"/>
    </xf>
    <xf numFmtId="0" fontId="1" fillId="0" borderId="0" xfId="0" applyFont="1" applyAlignment="1">
      <alignment wrapText="1" shrinkToFit="1"/>
    </xf>
    <xf numFmtId="0" fontId="1" fillId="0" borderId="0" xfId="0" applyFont="1" applyFill="1" applyAlignment="1">
      <alignment wrapText="1"/>
    </xf>
    <xf numFmtId="0" fontId="13" fillId="0" borderId="0" xfId="0" applyFont="1"/>
    <xf numFmtId="0" fontId="10" fillId="0" borderId="8" xfId="0" applyFont="1" applyBorder="1" applyAlignment="1">
      <alignment horizontal="center" vertical="center" shrinkToFit="1"/>
    </xf>
    <xf numFmtId="0" fontId="10" fillId="6" borderId="8" xfId="0" applyFont="1" applyFill="1" applyBorder="1" applyAlignment="1">
      <alignment horizontal="center" vertical="center" shrinkToFit="1"/>
    </xf>
    <xf numFmtId="0" fontId="2" fillId="0" borderId="0" xfId="0" applyFont="1" applyBorder="1"/>
    <xf numFmtId="0" fontId="6" fillId="0" borderId="0" xfId="0" applyFont="1" applyAlignment="1">
      <alignment horizontal="center"/>
    </xf>
    <xf numFmtId="0" fontId="13" fillId="0" borderId="0" xfId="0" applyFont="1"/>
    <xf numFmtId="0" fontId="1" fillId="0" borderId="1" xfId="0" applyFont="1" applyFill="1" applyBorder="1" applyAlignment="1"/>
    <xf numFmtId="0" fontId="1" fillId="0" borderId="1" xfId="0" applyFont="1" applyBorder="1"/>
    <xf numFmtId="0" fontId="1" fillId="0" borderId="1" xfId="0" applyFont="1" applyFill="1" applyBorder="1"/>
    <xf numFmtId="0" fontId="9" fillId="0" borderId="0" xfId="0" applyFont="1" applyBorder="1" applyAlignment="1"/>
    <xf numFmtId="164" fontId="3" fillId="0" borderId="0" xfId="0" applyNumberFormat="1" applyFont="1" applyBorder="1" applyAlignment="1">
      <alignment horizontal="right" vertical="top" wrapText="1"/>
    </xf>
    <xf numFmtId="0" fontId="0" fillId="0" borderId="0" xfId="0" applyAlignment="1">
      <alignment vertical="top" wrapText="1"/>
    </xf>
    <xf numFmtId="0" fontId="28" fillId="0" borderId="6" xfId="2" applyFont="1" applyBorder="1" applyAlignment="1">
      <alignment horizontal="right" vertical="center"/>
    </xf>
    <xf numFmtId="0" fontId="2" fillId="0" borderId="0" xfId="0" applyFont="1" applyBorder="1" applyAlignment="1"/>
    <xf numFmtId="0" fontId="2" fillId="0" borderId="0" xfId="0" applyFont="1" applyAlignment="1">
      <alignment horizontal="center"/>
    </xf>
    <xf numFmtId="0" fontId="2" fillId="0" borderId="39" xfId="2" applyFont="1" applyBorder="1" applyAlignment="1">
      <alignment horizontal="right" vertical="center"/>
    </xf>
    <xf numFmtId="0" fontId="10" fillId="0" borderId="8" xfId="0" applyFont="1" applyBorder="1" applyAlignment="1">
      <alignment horizontal="center" vertical="center" shrinkToFit="1"/>
    </xf>
    <xf numFmtId="0" fontId="10" fillId="6" borderId="8" xfId="0" applyFont="1" applyFill="1" applyBorder="1" applyAlignment="1">
      <alignment horizontal="center" vertical="center" shrinkToFit="1"/>
    </xf>
    <xf numFmtId="0" fontId="6" fillId="0" borderId="0" xfId="0" applyFont="1" applyAlignment="1">
      <alignment horizontal="center"/>
    </xf>
    <xf numFmtId="0" fontId="13" fillId="0" borderId="0" xfId="0" applyFont="1"/>
    <xf numFmtId="0" fontId="0" fillId="0" borderId="8" xfId="0" applyBorder="1"/>
    <xf numFmtId="0" fontId="6" fillId="0" borderId="5" xfId="0" applyFont="1" applyBorder="1" applyAlignment="1">
      <alignment horizontal="center"/>
    </xf>
    <xf numFmtId="0" fontId="10" fillId="0" borderId="0" xfId="0" applyFont="1" applyAlignment="1">
      <alignment vertical="top" wrapText="1"/>
    </xf>
    <xf numFmtId="0" fontId="2" fillId="0" borderId="7" xfId="0" applyFont="1" applyBorder="1"/>
    <xf numFmtId="0" fontId="0" fillId="14" borderId="1" xfId="0" applyFill="1" applyBorder="1" applyAlignment="1">
      <alignment horizontal="center"/>
    </xf>
    <xf numFmtId="0" fontId="2" fillId="15" borderId="1" xfId="0" applyFont="1" applyFill="1" applyBorder="1" applyAlignment="1">
      <alignment horizontal="center"/>
    </xf>
    <xf numFmtId="168" fontId="2" fillId="15" borderId="1" xfId="0" quotePrefix="1" applyNumberFormat="1" applyFont="1" applyFill="1" applyBorder="1" applyAlignment="1">
      <alignment horizontal="center"/>
    </xf>
    <xf numFmtId="0" fontId="2" fillId="15" borderId="43" xfId="0" applyFont="1" applyFill="1" applyBorder="1" applyAlignment="1"/>
    <xf numFmtId="10" fontId="2" fillId="15" borderId="45" xfId="0" applyNumberFormat="1" applyFont="1" applyFill="1" applyBorder="1" applyAlignment="1">
      <alignment horizontal="center"/>
    </xf>
    <xf numFmtId="10" fontId="2" fillId="15" borderId="17" xfId="0" applyNumberFormat="1" applyFont="1" applyFill="1" applyBorder="1" applyAlignment="1">
      <alignment horizontal="center"/>
    </xf>
    <xf numFmtId="14" fontId="2" fillId="15" borderId="10" xfId="0" applyNumberFormat="1" applyFont="1" applyFill="1" applyBorder="1"/>
    <xf numFmtId="14" fontId="2" fillId="15" borderId="42" xfId="0" applyNumberFormat="1" applyFont="1" applyFill="1" applyBorder="1"/>
    <xf numFmtId="0" fontId="2" fillId="15" borderId="0" xfId="0" applyFont="1" applyFill="1"/>
    <xf numFmtId="0" fontId="0" fillId="15" borderId="1" xfId="0" applyFill="1" applyBorder="1" applyAlignment="1">
      <alignment horizontal="center"/>
    </xf>
    <xf numFmtId="168" fontId="0" fillId="15" borderId="1" xfId="0" quotePrefix="1" applyNumberFormat="1" applyFill="1" applyBorder="1" applyAlignment="1">
      <alignment horizontal="center"/>
    </xf>
    <xf numFmtId="0" fontId="1" fillId="15" borderId="1" xfId="0" applyFont="1" applyFill="1" applyBorder="1" applyAlignment="1"/>
    <xf numFmtId="10" fontId="0" fillId="15" borderId="1" xfId="0" applyNumberFormat="1" applyFill="1" applyBorder="1" applyAlignment="1">
      <alignment horizontal="center"/>
    </xf>
    <xf numFmtId="10" fontId="1" fillId="15" borderId="1" xfId="0" applyNumberFormat="1" applyFont="1" applyFill="1" applyBorder="1" applyAlignment="1">
      <alignment horizontal="center"/>
    </xf>
    <xf numFmtId="10" fontId="13" fillId="15" borderId="1" xfId="0" applyNumberFormat="1" applyFont="1" applyFill="1" applyBorder="1" applyAlignment="1">
      <alignment horizontal="center" wrapText="1"/>
    </xf>
    <xf numFmtId="0" fontId="13" fillId="15" borderId="1" xfId="0" applyFont="1" applyFill="1" applyBorder="1" applyAlignment="1">
      <alignment horizontal="center" wrapText="1"/>
    </xf>
    <xf numFmtId="0" fontId="10" fillId="15" borderId="1" xfId="0" applyFont="1" applyFill="1" applyBorder="1" applyAlignment="1">
      <alignment horizontal="center" wrapText="1"/>
    </xf>
    <xf numFmtId="0" fontId="13" fillId="15" borderId="1" xfId="0" applyFont="1" applyFill="1" applyBorder="1" applyAlignment="1">
      <alignment horizontal="center"/>
    </xf>
    <xf numFmtId="0" fontId="0" fillId="15" borderId="0" xfId="0" applyFill="1"/>
    <xf numFmtId="168" fontId="0" fillId="15" borderId="1" xfId="0" applyNumberFormat="1" applyFill="1" applyBorder="1" applyAlignment="1">
      <alignment horizontal="center"/>
    </xf>
    <xf numFmtId="0" fontId="1" fillId="15" borderId="1" xfId="0" applyFont="1" applyFill="1" applyBorder="1"/>
    <xf numFmtId="0" fontId="0" fillId="15" borderId="1" xfId="0" applyFill="1" applyBorder="1"/>
    <xf numFmtId="168" fontId="2" fillId="15" borderId="1" xfId="0" applyNumberFormat="1" applyFont="1" applyFill="1" applyBorder="1" applyAlignment="1">
      <alignment horizontal="center"/>
    </xf>
    <xf numFmtId="0" fontId="2" fillId="15" borderId="43" xfId="0" applyFont="1" applyFill="1" applyBorder="1"/>
    <xf numFmtId="0" fontId="10" fillId="15" borderId="1" xfId="0" applyFont="1" applyFill="1" applyBorder="1" applyAlignment="1">
      <alignment horizontal="center"/>
    </xf>
    <xf numFmtId="0" fontId="7" fillId="15" borderId="1" xfId="0" applyFont="1" applyFill="1" applyBorder="1" applyAlignment="1">
      <alignment horizontal="center"/>
    </xf>
    <xf numFmtId="0" fontId="1" fillId="15" borderId="1" xfId="0" applyFont="1" applyFill="1" applyBorder="1" applyAlignment="1">
      <alignment horizontal="center"/>
    </xf>
    <xf numFmtId="0" fontId="2" fillId="0" borderId="0" xfId="0" applyFont="1" applyBorder="1"/>
    <xf numFmtId="0" fontId="2" fillId="0" borderId="0" xfId="0" applyFont="1" applyAlignment="1">
      <alignment horizontal="center"/>
    </xf>
    <xf numFmtId="0" fontId="13" fillId="0" borderId="0" xfId="0" applyFont="1"/>
    <xf numFmtId="0" fontId="78" fillId="0" borderId="0" xfId="0" applyFont="1" applyProtection="1"/>
    <xf numFmtId="0" fontId="0" fillId="0" borderId="0" xfId="0" applyBorder="1" applyProtection="1"/>
    <xf numFmtId="0" fontId="49" fillId="0" borderId="0" xfId="0" applyFont="1" applyAlignment="1" applyProtection="1">
      <alignment wrapText="1" shrinkToFit="1"/>
    </xf>
    <xf numFmtId="0" fontId="79" fillId="0" borderId="0" xfId="0" applyFont="1" applyProtection="1"/>
    <xf numFmtId="169" fontId="6" fillId="0" borderId="0" xfId="0" applyNumberFormat="1" applyFont="1" applyFill="1" applyBorder="1" applyAlignment="1">
      <alignment horizontal="center" shrinkToFit="1"/>
    </xf>
    <xf numFmtId="0" fontId="7" fillId="0" borderId="0" xfId="0" applyFont="1" applyAlignment="1">
      <alignment vertical="center"/>
    </xf>
    <xf numFmtId="0" fontId="7" fillId="0" borderId="0" xfId="0" applyFont="1" applyAlignment="1">
      <alignment shrinkToFit="1"/>
    </xf>
    <xf numFmtId="0" fontId="7" fillId="0" borderId="0" xfId="0" applyFont="1" applyAlignment="1">
      <alignment vertical="top"/>
    </xf>
    <xf numFmtId="38" fontId="0" fillId="2" borderId="8" xfId="0" applyNumberFormat="1" applyFill="1" applyBorder="1" applyAlignment="1" applyProtection="1">
      <alignment shrinkToFit="1"/>
      <protection locked="0"/>
    </xf>
    <xf numFmtId="0" fontId="2" fillId="0" borderId="0" xfId="0" applyFont="1" applyBorder="1"/>
    <xf numFmtId="0" fontId="6" fillId="0" borderId="8" xfId="0" applyFont="1" applyBorder="1" applyAlignment="1">
      <alignment horizontal="center" wrapText="1"/>
    </xf>
    <xf numFmtId="0" fontId="49" fillId="0" borderId="0" xfId="0" applyFont="1" applyAlignment="1">
      <alignment vertical="top"/>
    </xf>
    <xf numFmtId="0" fontId="22" fillId="0" borderId="22" xfId="0" applyFont="1" applyBorder="1"/>
    <xf numFmtId="0" fontId="78" fillId="0" borderId="0" xfId="0" applyFont="1"/>
    <xf numFmtId="0" fontId="79" fillId="0" borderId="0" xfId="0" applyFont="1"/>
    <xf numFmtId="0" fontId="80" fillId="0" borderId="0" xfId="0" applyFont="1"/>
    <xf numFmtId="0" fontId="81" fillId="0" borderId="0" xfId="0" applyFont="1"/>
    <xf numFmtId="0" fontId="78" fillId="0" borderId="0" xfId="0" applyFont="1" applyFill="1"/>
    <xf numFmtId="0" fontId="81" fillId="0" borderId="0" xfId="0" applyFont="1" applyFill="1"/>
    <xf numFmtId="0" fontId="82" fillId="0" borderId="0" xfId="0" applyFont="1"/>
    <xf numFmtId="0" fontId="83" fillId="0" borderId="0" xfId="0" applyFont="1"/>
    <xf numFmtId="0" fontId="79" fillId="0" borderId="0" xfId="0" applyFont="1" applyBorder="1"/>
    <xf numFmtId="0" fontId="79" fillId="0" borderId="0" xfId="0" applyFont="1" applyFill="1" applyBorder="1" applyAlignment="1">
      <alignment vertical="top" shrinkToFit="1"/>
    </xf>
    <xf numFmtId="0" fontId="84" fillId="0" borderId="0" xfId="0" applyFont="1"/>
    <xf numFmtId="169" fontId="79" fillId="0" borderId="0" xfId="0" applyNumberFormat="1" applyFont="1"/>
    <xf numFmtId="0" fontId="79" fillId="0" borderId="0" xfId="0" applyFont="1" applyBorder="1" applyAlignment="1">
      <alignment shrinkToFit="1"/>
    </xf>
    <xf numFmtId="0" fontId="78" fillId="0" borderId="0" xfId="0" applyFont="1" applyAlignment="1">
      <alignment vertical="top" wrapText="1"/>
    </xf>
    <xf numFmtId="38" fontId="2" fillId="0" borderId="8" xfId="0" applyNumberFormat="1" applyFont="1" applyBorder="1" applyAlignment="1"/>
    <xf numFmtId="38" fontId="2" fillId="0" borderId="5" xfId="0" applyNumberFormat="1" applyFont="1" applyBorder="1" applyAlignment="1"/>
    <xf numFmtId="38" fontId="2" fillId="0" borderId="50" xfId="0" applyNumberFormat="1" applyFont="1" applyBorder="1" applyAlignment="1"/>
    <xf numFmtId="0" fontId="78" fillId="14" borderId="0" xfId="0" applyFont="1" applyFill="1"/>
    <xf numFmtId="0" fontId="1" fillId="2" borderId="8" xfId="0" applyFont="1" applyFill="1" applyBorder="1" applyAlignment="1" applyProtection="1">
      <alignment horizontal="center"/>
      <protection locked="0"/>
    </xf>
    <xf numFmtId="3" fontId="6" fillId="14" borderId="13" xfId="0" applyNumberFormat="1" applyFont="1" applyFill="1" applyBorder="1" applyAlignment="1" applyProtection="1">
      <alignment horizontal="center" wrapText="1"/>
    </xf>
    <xf numFmtId="38" fontId="1" fillId="0" borderId="13" xfId="0" applyNumberFormat="1" applyFont="1" applyBorder="1" applyAlignment="1">
      <alignment shrinkToFit="1"/>
    </xf>
    <xf numFmtId="3" fontId="1" fillId="2" borderId="8" xfId="0" applyNumberFormat="1" applyFont="1" applyFill="1" applyBorder="1" applyAlignment="1" applyProtection="1">
      <alignment wrapText="1"/>
      <protection locked="0"/>
    </xf>
    <xf numFmtId="0" fontId="7" fillId="0" borderId="1" xfId="0" applyFont="1" applyBorder="1" applyAlignment="1">
      <alignment horizontal="justify" vertical="center"/>
    </xf>
    <xf numFmtId="38" fontId="0" fillId="2" borderId="8" xfId="0" applyNumberFormat="1" applyFill="1" applyBorder="1" applyAlignment="1" applyProtection="1">
      <alignment shrinkToFit="1"/>
      <protection locked="0"/>
    </xf>
    <xf numFmtId="0" fontId="1" fillId="2" borderId="8" xfId="0" applyFont="1" applyFill="1" applyBorder="1" applyAlignment="1">
      <alignment horizontal="center" wrapText="1"/>
    </xf>
    <xf numFmtId="0" fontId="0" fillId="0" borderId="0" xfId="0" applyAlignment="1">
      <alignment wrapText="1" shrinkToFit="1"/>
    </xf>
    <xf numFmtId="0" fontId="1" fillId="2" borderId="8" xfId="0" applyFont="1" applyFill="1" applyBorder="1" applyAlignment="1">
      <alignment wrapText="1"/>
    </xf>
    <xf numFmtId="38" fontId="2" fillId="0" borderId="0" xfId="0" applyNumberFormat="1" applyFont="1" applyBorder="1" applyAlignment="1">
      <alignment wrapText="1"/>
    </xf>
    <xf numFmtId="3" fontId="2" fillId="0" borderId="0" xfId="0" applyNumberFormat="1" applyFont="1" applyBorder="1" applyAlignment="1">
      <alignment wrapText="1"/>
    </xf>
    <xf numFmtId="0" fontId="1" fillId="16" borderId="8" xfId="0" applyFont="1" applyFill="1" applyBorder="1" applyAlignment="1">
      <alignment horizontal="center" wrapText="1"/>
    </xf>
    <xf numFmtId="3" fontId="1" fillId="2" borderId="8" xfId="0" applyNumberFormat="1" applyFont="1" applyFill="1" applyBorder="1" applyAlignment="1">
      <alignment horizontal="center" wrapText="1"/>
    </xf>
    <xf numFmtId="0" fontId="1" fillId="16" borderId="8" xfId="0" applyFont="1" applyFill="1" applyBorder="1"/>
    <xf numFmtId="0" fontId="1" fillId="16" borderId="8" xfId="0" applyFont="1" applyFill="1" applyBorder="1" applyAlignment="1">
      <alignment wrapText="1"/>
    </xf>
    <xf numFmtId="3" fontId="1" fillId="16" borderId="8" xfId="0" applyNumberFormat="1" applyFont="1" applyFill="1" applyBorder="1" applyAlignment="1">
      <alignment wrapText="1"/>
    </xf>
    <xf numFmtId="165" fontId="2" fillId="0" borderId="8" xfId="0" applyNumberFormat="1" applyFont="1" applyBorder="1" applyAlignment="1" applyProtection="1">
      <alignment horizontal="center" shrinkToFit="1"/>
    </xf>
    <xf numFmtId="38" fontId="0" fillId="16" borderId="8" xfId="0" applyNumberFormat="1" applyFill="1" applyBorder="1" applyAlignment="1" applyProtection="1">
      <alignment shrinkToFit="1"/>
      <protection locked="0"/>
    </xf>
    <xf numFmtId="2" fontId="78" fillId="0" borderId="0" xfId="0" applyNumberFormat="1" applyFont="1"/>
    <xf numFmtId="0" fontId="3" fillId="8" borderId="16" xfId="0" applyFont="1" applyFill="1" applyBorder="1" applyAlignment="1">
      <alignment horizontal="center" vertical="center" wrapText="1"/>
    </xf>
    <xf numFmtId="0" fontId="6" fillId="16" borderId="8" xfId="0" applyFont="1" applyFill="1" applyBorder="1" applyAlignment="1">
      <alignment shrinkToFit="1"/>
    </xf>
    <xf numFmtId="38" fontId="0" fillId="2" borderId="8" xfId="0" applyNumberFormat="1" applyFill="1" applyBorder="1" applyAlignment="1" applyProtection="1">
      <alignment shrinkToFit="1"/>
      <protection locked="0"/>
    </xf>
    <xf numFmtId="0" fontId="0" fillId="0" borderId="8" xfId="0" applyBorder="1"/>
    <xf numFmtId="0" fontId="2" fillId="0" borderId="0" xfId="0" applyFont="1" applyBorder="1"/>
    <xf numFmtId="0" fontId="2" fillId="0" borderId="18" xfId="0" applyFont="1" applyBorder="1"/>
    <xf numFmtId="38" fontId="2" fillId="0" borderId="8" xfId="0" applyNumberFormat="1" applyFont="1" applyFill="1" applyBorder="1" applyAlignment="1" applyProtection="1">
      <alignment shrinkToFit="1"/>
    </xf>
    <xf numFmtId="0" fontId="2" fillId="0" borderId="0" xfId="0" applyFont="1" applyBorder="1"/>
    <xf numFmtId="0" fontId="2" fillId="0" borderId="18" xfId="0" applyFont="1" applyBorder="1"/>
    <xf numFmtId="0" fontId="0" fillId="0" borderId="0" xfId="0" quotePrefix="1" applyProtection="1">
      <protection locked="0"/>
    </xf>
    <xf numFmtId="3" fontId="1" fillId="2" borderId="13" xfId="0" applyNumberFormat="1" applyFont="1" applyFill="1" applyBorder="1" applyAlignment="1">
      <alignment horizontal="center" wrapText="1"/>
    </xf>
    <xf numFmtId="0" fontId="1" fillId="16" borderId="14" xfId="0" applyFont="1" applyFill="1" applyBorder="1" applyAlignment="1">
      <alignment horizontal="center" wrapText="1"/>
    </xf>
    <xf numFmtId="0" fontId="1" fillId="16" borderId="33" xfId="0" applyFont="1" applyFill="1" applyBorder="1" applyAlignment="1">
      <alignment wrapText="1"/>
    </xf>
    <xf numFmtId="0" fontId="0" fillId="7" borderId="21" xfId="0" applyFill="1" applyBorder="1"/>
    <xf numFmtId="0" fontId="0" fillId="2" borderId="32" xfId="0" applyFill="1" applyBorder="1" applyAlignment="1">
      <alignment wrapText="1"/>
    </xf>
    <xf numFmtId="0" fontId="4" fillId="0" borderId="0" xfId="0" applyFont="1" applyBorder="1" applyProtection="1"/>
    <xf numFmtId="0" fontId="1" fillId="0" borderId="17" xfId="0" applyFont="1" applyBorder="1"/>
    <xf numFmtId="0" fontId="1" fillId="0" borderId="0" xfId="0" applyFont="1" applyBorder="1" applyProtection="1"/>
    <xf numFmtId="10" fontId="2" fillId="0" borderId="29" xfId="0" applyNumberFormat="1" applyFont="1" applyBorder="1" applyAlignment="1">
      <alignment horizontal="center"/>
    </xf>
    <xf numFmtId="10" fontId="2" fillId="0" borderId="91" xfId="0" applyNumberFormat="1" applyFont="1" applyBorder="1" applyAlignment="1">
      <alignment horizontal="center"/>
    </xf>
    <xf numFmtId="40" fontId="2" fillId="0" borderId="90" xfId="0" applyNumberFormat="1" applyFont="1" applyBorder="1"/>
    <xf numFmtId="0" fontId="0" fillId="0" borderId="0" xfId="0" applyAlignment="1">
      <alignment horizontal="centerContinuous"/>
    </xf>
    <xf numFmtId="3" fontId="2" fillId="0" borderId="0" xfId="0" applyNumberFormat="1" applyFont="1" applyBorder="1" applyAlignment="1">
      <alignment horizontal="center" vertical="center"/>
    </xf>
    <xf numFmtId="169" fontId="2" fillId="0" borderId="0" xfId="0" applyNumberFormat="1" applyFont="1" applyBorder="1" applyAlignment="1">
      <alignment horizontal="center" vertical="center"/>
    </xf>
    <xf numFmtId="3" fontId="2" fillId="0" borderId="0" xfId="0" applyNumberFormat="1" applyFont="1" applyBorder="1" applyAlignment="1">
      <alignment vertical="center" wrapText="1"/>
    </xf>
    <xf numFmtId="10" fontId="2" fillId="0" borderId="0" xfId="0" applyNumberFormat="1" applyFont="1" applyBorder="1" applyAlignment="1">
      <alignment vertical="center"/>
    </xf>
    <xf numFmtId="3" fontId="2" fillId="0" borderId="22" xfId="0" applyNumberFormat="1" applyFont="1" applyBorder="1"/>
    <xf numFmtId="0" fontId="2" fillId="0" borderId="19" xfId="0" applyFont="1" applyBorder="1"/>
    <xf numFmtId="38" fontId="2" fillId="0" borderId="19" xfId="0" applyNumberFormat="1" applyFont="1" applyBorder="1"/>
    <xf numFmtId="3" fontId="2" fillId="0" borderId="23" xfId="0" applyNumberFormat="1" applyFont="1" applyBorder="1"/>
    <xf numFmtId="3" fontId="2" fillId="0" borderId="19" xfId="0" applyNumberFormat="1" applyFont="1" applyBorder="1"/>
    <xf numFmtId="10" fontId="2" fillId="0" borderId="0" xfId="0" applyNumberFormat="1" applyFont="1" applyBorder="1" applyAlignment="1">
      <alignment horizontal="center" vertical="center"/>
    </xf>
    <xf numFmtId="0" fontId="2" fillId="0" borderId="0" xfId="0" applyFont="1" applyBorder="1" applyAlignment="1">
      <alignment horizontal="center" vertical="center"/>
    </xf>
    <xf numFmtId="0" fontId="2" fillId="0" borderId="0" xfId="0" applyFont="1" applyBorder="1" applyAlignment="1">
      <alignment vertical="center" wrapText="1"/>
    </xf>
    <xf numFmtId="0" fontId="2" fillId="0" borderId="22" xfId="0" applyFont="1" applyBorder="1"/>
    <xf numFmtId="3" fontId="2" fillId="0" borderId="5" xfId="1" applyNumberFormat="1" applyFont="1" applyBorder="1" applyAlignment="1">
      <alignment shrinkToFit="1"/>
    </xf>
    <xf numFmtId="3" fontId="2" fillId="0" borderId="5" xfId="0" applyNumberFormat="1" applyFont="1" applyBorder="1" applyAlignment="1">
      <alignment shrinkToFit="1"/>
    </xf>
    <xf numFmtId="169" fontId="2" fillId="0" borderId="39" xfId="0" applyNumberFormat="1" applyFont="1" applyBorder="1" applyAlignment="1">
      <alignment horizontal="center" shrinkToFit="1"/>
    </xf>
    <xf numFmtId="3" fontId="2" fillId="0" borderId="52" xfId="0" applyNumberFormat="1" applyFont="1" applyBorder="1" applyAlignment="1">
      <alignment shrinkToFit="1"/>
    </xf>
    <xf numFmtId="169" fontId="2" fillId="0" borderId="3" xfId="0" applyNumberFormat="1" applyFont="1" applyBorder="1" applyAlignment="1">
      <alignment horizontal="center" shrinkToFit="1"/>
    </xf>
    <xf numFmtId="169" fontId="2" fillId="0" borderId="5" xfId="0" applyNumberFormat="1" applyFont="1" applyBorder="1" applyAlignment="1">
      <alignment horizontal="center" shrinkToFit="1"/>
    </xf>
    <xf numFmtId="3" fontId="2" fillId="0" borderId="61" xfId="0" applyNumberFormat="1" applyFont="1" applyBorder="1" applyAlignment="1">
      <alignment shrinkToFit="1"/>
    </xf>
    <xf numFmtId="0" fontId="6" fillId="0" borderId="8" xfId="0" applyNumberFormat="1" applyFont="1" applyBorder="1" applyAlignment="1">
      <alignment horizontal="center" shrinkToFit="1"/>
    </xf>
    <xf numFmtId="0" fontId="0" fillId="0" borderId="8" xfId="0" applyBorder="1"/>
    <xf numFmtId="0" fontId="2" fillId="0" borderId="0" xfId="0" applyFont="1" applyBorder="1"/>
    <xf numFmtId="0" fontId="2" fillId="0" borderId="18" xfId="0" applyFont="1" applyBorder="1"/>
    <xf numFmtId="0" fontId="0" fillId="0" borderId="7" xfId="0" applyBorder="1"/>
    <xf numFmtId="0" fontId="87" fillId="7" borderId="26" xfId="0" applyFont="1" applyFill="1" applyBorder="1" applyAlignment="1"/>
    <xf numFmtId="0" fontId="2" fillId="2" borderId="32" xfId="0" applyFont="1" applyFill="1" applyBorder="1" applyAlignment="1">
      <alignment horizontal="center" vertical="center" wrapText="1"/>
    </xf>
    <xf numFmtId="0" fontId="2" fillId="2" borderId="8" xfId="0" applyFont="1" applyFill="1" applyBorder="1" applyAlignment="1">
      <alignment horizontal="center" vertical="center" wrapText="1"/>
    </xf>
    <xf numFmtId="3" fontId="2" fillId="2" borderId="8" xfId="0" applyNumberFormat="1" applyFont="1" applyFill="1" applyBorder="1" applyAlignment="1">
      <alignment horizontal="center" vertical="center" wrapText="1"/>
    </xf>
    <xf numFmtId="0" fontId="2" fillId="16" borderId="8" xfId="0" applyFont="1" applyFill="1" applyBorder="1" applyAlignment="1">
      <alignment horizontal="center" vertical="center" wrapText="1"/>
    </xf>
    <xf numFmtId="3" fontId="2" fillId="16" borderId="8" xfId="0" applyNumberFormat="1" applyFont="1" applyFill="1" applyBorder="1" applyAlignment="1">
      <alignment horizontal="center" vertical="center" wrapText="1"/>
    </xf>
    <xf numFmtId="0" fontId="2" fillId="16" borderId="33" xfId="0" applyFont="1" applyFill="1" applyBorder="1" applyAlignment="1">
      <alignment horizontal="center" vertical="center" wrapText="1"/>
    </xf>
    <xf numFmtId="0" fontId="3" fillId="0" borderId="8" xfId="0" applyNumberFormat="1" applyFont="1" applyBorder="1" applyAlignment="1">
      <alignment horizontal="center"/>
    </xf>
    <xf numFmtId="38" fontId="2" fillId="4" borderId="8" xfId="0" applyNumberFormat="1" applyFont="1" applyFill="1" applyBorder="1" applyAlignment="1" applyProtection="1">
      <alignment shrinkToFit="1"/>
    </xf>
    <xf numFmtId="0" fontId="2" fillId="0" borderId="8" xfId="0" applyFont="1" applyBorder="1" applyAlignment="1">
      <alignment horizontal="right"/>
    </xf>
    <xf numFmtId="169" fontId="2" fillId="0" borderId="19" xfId="0" applyNumberFormat="1" applyFont="1" applyBorder="1"/>
    <xf numFmtId="0" fontId="2" fillId="0" borderId="18" xfId="0" applyFont="1" applyBorder="1" applyAlignment="1">
      <alignment horizontal="center" wrapText="1"/>
    </xf>
    <xf numFmtId="0" fontId="2" fillId="0" borderId="18" xfId="0" applyFont="1" applyBorder="1" applyAlignment="1">
      <alignment wrapText="1"/>
    </xf>
    <xf numFmtId="0" fontId="2" fillId="0" borderId="92" xfId="0" applyFont="1" applyBorder="1" applyAlignment="1">
      <alignment vertical="center"/>
    </xf>
    <xf numFmtId="10" fontId="2" fillId="0" borderId="18" xfId="0" applyNumberFormat="1" applyFont="1" applyBorder="1" applyAlignment="1">
      <alignment vertical="center"/>
    </xf>
    <xf numFmtId="0" fontId="2" fillId="0" borderId="18" xfId="0" applyFont="1" applyBorder="1" applyAlignment="1">
      <alignment horizontal="center" vertical="center"/>
    </xf>
    <xf numFmtId="0" fontId="2" fillId="0" borderId="93" xfId="0" applyFont="1" applyBorder="1" applyAlignment="1">
      <alignment horizontal="right"/>
    </xf>
    <xf numFmtId="0" fontId="2" fillId="0" borderId="18" xfId="0" applyFont="1" applyBorder="1" applyAlignment="1">
      <alignment horizontal="right"/>
    </xf>
    <xf numFmtId="10" fontId="2" fillId="0" borderId="18" xfId="0" applyNumberFormat="1" applyFont="1" applyBorder="1" applyAlignment="1">
      <alignment horizontal="right" vertical="center"/>
    </xf>
    <xf numFmtId="3" fontId="2" fillId="2" borderId="13" xfId="0" applyNumberFormat="1" applyFont="1" applyFill="1" applyBorder="1" applyAlignment="1">
      <alignment horizontal="center" vertical="center" wrapText="1"/>
    </xf>
    <xf numFmtId="0" fontId="2" fillId="16" borderId="14" xfId="0" applyFont="1" applyFill="1" applyBorder="1" applyAlignment="1">
      <alignment horizontal="center" vertical="center" wrapText="1"/>
    </xf>
    <xf numFmtId="0" fontId="2" fillId="0" borderId="18" xfId="0" applyFont="1" applyBorder="1" applyAlignment="1">
      <alignment horizontal="left" vertical="center"/>
    </xf>
    <xf numFmtId="0" fontId="2" fillId="0" borderId="18" xfId="0" applyFont="1" applyBorder="1" applyAlignment="1">
      <alignment horizontal="right" vertical="center"/>
    </xf>
    <xf numFmtId="0" fontId="2" fillId="0" borderId="18" xfId="0" applyFont="1" applyBorder="1" applyAlignment="1">
      <alignment horizontal="left"/>
    </xf>
    <xf numFmtId="0" fontId="0" fillId="0" borderId="59" xfId="0" applyBorder="1"/>
    <xf numFmtId="0" fontId="9" fillId="0" borderId="18" xfId="0" quotePrefix="1" applyFont="1" applyBorder="1" applyAlignment="1"/>
    <xf numFmtId="0" fontId="3" fillId="0" borderId="13" xfId="0" applyFont="1" applyBorder="1" applyAlignment="1"/>
    <xf numFmtId="0" fontId="9" fillId="0" borderId="14" xfId="0" quotePrefix="1" applyFont="1" applyBorder="1" applyAlignment="1"/>
    <xf numFmtId="38" fontId="9" fillId="0" borderId="8" xfId="0" quotePrefix="1" applyNumberFormat="1" applyFont="1" applyBorder="1" applyAlignment="1"/>
    <xf numFmtId="3" fontId="9" fillId="17" borderId="8" xfId="0" quotePrefix="1" applyNumberFormat="1" applyFont="1" applyFill="1" applyBorder="1" applyAlignment="1"/>
    <xf numFmtId="38" fontId="2" fillId="2" borderId="62" xfId="0" applyNumberFormat="1" applyFont="1" applyFill="1" applyBorder="1" applyAlignment="1" applyProtection="1">
      <alignment horizontal="right" shrinkToFit="1"/>
      <protection locked="0"/>
    </xf>
    <xf numFmtId="169" fontId="2" fillId="0" borderId="27" xfId="3" applyNumberFormat="1" applyFont="1" applyBorder="1" applyAlignment="1">
      <alignment horizontal="center" shrinkToFit="1"/>
    </xf>
    <xf numFmtId="169" fontId="9" fillId="0" borderId="27" xfId="3" applyNumberFormat="1" applyFont="1" applyBorder="1" applyAlignment="1">
      <alignment horizontal="center" shrinkToFit="1"/>
    </xf>
    <xf numFmtId="38" fontId="2" fillId="0" borderId="0" xfId="0" applyNumberFormat="1" applyFont="1" applyBorder="1" applyAlignment="1">
      <alignment vertical="center" wrapText="1"/>
    </xf>
    <xf numFmtId="3" fontId="2" fillId="0" borderId="22" xfId="0" applyNumberFormat="1" applyFont="1" applyBorder="1" applyAlignment="1">
      <alignment vertical="center"/>
    </xf>
    <xf numFmtId="38" fontId="2" fillId="0" borderId="10" xfId="0" applyNumberFormat="1" applyFont="1" applyBorder="1" applyAlignment="1"/>
    <xf numFmtId="0" fontId="3" fillId="0" borderId="8" xfId="0" applyFont="1" applyBorder="1" applyAlignment="1">
      <alignment wrapText="1"/>
    </xf>
    <xf numFmtId="38" fontId="1" fillId="0" borderId="8" xfId="0" applyNumberFormat="1" applyFont="1" applyBorder="1"/>
    <xf numFmtId="169" fontId="2" fillId="0" borderId="19" xfId="0" applyNumberFormat="1" applyFont="1" applyBorder="1" applyAlignment="1">
      <alignment horizontal="center"/>
    </xf>
    <xf numFmtId="0" fontId="2" fillId="0" borderId="0" xfId="0" applyFont="1" applyBorder="1"/>
    <xf numFmtId="0" fontId="1" fillId="0" borderId="0" xfId="0" applyFont="1" applyAlignment="1">
      <alignment horizontal="center" vertical="center"/>
    </xf>
    <xf numFmtId="0" fontId="8" fillId="0" borderId="19" xfId="0" applyFont="1" applyBorder="1"/>
    <xf numFmtId="38" fontId="2" fillId="0" borderId="8" xfId="0" applyNumberFormat="1" applyFont="1" applyFill="1" applyBorder="1" applyAlignment="1" applyProtection="1">
      <alignment shrinkToFit="1"/>
    </xf>
    <xf numFmtId="0" fontId="2" fillId="0" borderId="18" xfId="0" applyFont="1" applyBorder="1" applyAlignment="1">
      <alignment wrapText="1"/>
    </xf>
    <xf numFmtId="0" fontId="2" fillId="0" borderId="18" xfId="0" applyFont="1" applyBorder="1"/>
    <xf numFmtId="0" fontId="2" fillId="0" borderId="8" xfId="0" applyFont="1" applyBorder="1" applyAlignment="1">
      <alignment horizontal="right"/>
    </xf>
    <xf numFmtId="0" fontId="2" fillId="14" borderId="32" xfId="0" applyFont="1" applyFill="1" applyBorder="1" applyAlignment="1">
      <alignment horizontal="center" vertical="center" wrapText="1"/>
    </xf>
    <xf numFmtId="0" fontId="2" fillId="14" borderId="8" xfId="0" applyFont="1" applyFill="1" applyBorder="1" applyAlignment="1">
      <alignment horizontal="center" vertical="center" wrapText="1"/>
    </xf>
    <xf numFmtId="3" fontId="2" fillId="14" borderId="8" xfId="0" applyNumberFormat="1" applyFont="1" applyFill="1" applyBorder="1" applyAlignment="1">
      <alignment horizontal="center" vertical="center" wrapText="1"/>
    </xf>
    <xf numFmtId="0" fontId="2" fillId="14" borderId="33" xfId="0" applyFont="1" applyFill="1" applyBorder="1" applyAlignment="1">
      <alignment horizontal="center" vertical="center" wrapText="1"/>
    </xf>
    <xf numFmtId="38" fontId="0" fillId="2" borderId="8" xfId="0" applyNumberFormat="1" applyFill="1" applyBorder="1" applyAlignment="1" applyProtection="1">
      <alignment shrinkToFit="1"/>
      <protection locked="0"/>
    </xf>
    <xf numFmtId="0" fontId="1" fillId="2" borderId="47" xfId="0" applyFont="1" applyFill="1" applyBorder="1" applyAlignment="1">
      <alignment horizontal="center"/>
    </xf>
    <xf numFmtId="0" fontId="0" fillId="2" borderId="13" xfId="0" applyFill="1" applyBorder="1" applyAlignment="1">
      <alignment horizontal="center"/>
    </xf>
    <xf numFmtId="0" fontId="1" fillId="0" borderId="22" xfId="0" applyFont="1" applyBorder="1" applyAlignment="1">
      <alignment wrapText="1"/>
    </xf>
    <xf numFmtId="0" fontId="86" fillId="0" borderId="0" xfId="0" applyFont="1" applyBorder="1"/>
    <xf numFmtId="0" fontId="39" fillId="15" borderId="1" xfId="0" applyFont="1" applyFill="1" applyBorder="1" applyAlignment="1">
      <alignment horizontal="center"/>
    </xf>
    <xf numFmtId="3" fontId="79" fillId="0" borderId="19" xfId="0" applyNumberFormat="1" applyFont="1" applyBorder="1"/>
    <xf numFmtId="165" fontId="0" fillId="0" borderId="0" xfId="0" applyNumberFormat="1"/>
    <xf numFmtId="173" fontId="0" fillId="0" borderId="0" xfId="0" applyNumberFormat="1"/>
    <xf numFmtId="6" fontId="0" fillId="0" borderId="0" xfId="0" applyNumberFormat="1"/>
    <xf numFmtId="0" fontId="1" fillId="0" borderId="0" xfId="0" applyFont="1" applyAlignment="1">
      <alignment vertical="center"/>
    </xf>
    <xf numFmtId="173" fontId="0" fillId="0" borderId="0" xfId="0" applyNumberFormat="1" applyAlignment="1">
      <alignment vertical="center"/>
    </xf>
    <xf numFmtId="165" fontId="0" fillId="0" borderId="0" xfId="0" applyNumberFormat="1" applyAlignment="1">
      <alignment vertical="center"/>
    </xf>
    <xf numFmtId="6" fontId="0" fillId="0" borderId="0" xfId="0" applyNumberFormat="1" applyAlignment="1">
      <alignment vertical="center"/>
    </xf>
    <xf numFmtId="0" fontId="0" fillId="0" borderId="0" xfId="0" applyAlignment="1">
      <alignment vertical="center" wrapText="1"/>
    </xf>
    <xf numFmtId="0" fontId="1" fillId="0" borderId="0" xfId="0" applyFont="1" applyAlignment="1">
      <alignment vertical="center" wrapText="1"/>
    </xf>
    <xf numFmtId="173" fontId="1" fillId="0" borderId="0" xfId="0" applyNumberFormat="1" applyFont="1"/>
    <xf numFmtId="165" fontId="1" fillId="0" borderId="0" xfId="0" applyNumberFormat="1" applyFont="1"/>
    <xf numFmtId="6" fontId="1" fillId="0" borderId="0" xfId="0" applyNumberFormat="1" applyFont="1"/>
    <xf numFmtId="0" fontId="6" fillId="0" borderId="0" xfId="0" applyFont="1" applyAlignment="1">
      <alignment vertical="center" wrapText="1"/>
    </xf>
    <xf numFmtId="173" fontId="6" fillId="0" borderId="0" xfId="0" applyNumberFormat="1" applyFont="1" applyAlignment="1">
      <alignment vertical="center" wrapText="1"/>
    </xf>
    <xf numFmtId="165" fontId="6" fillId="0" borderId="0" xfId="0" applyNumberFormat="1" applyFont="1" applyAlignment="1">
      <alignment vertical="center" wrapText="1"/>
    </xf>
    <xf numFmtId="6" fontId="6" fillId="0" borderId="0" xfId="0" applyNumberFormat="1" applyFont="1" applyAlignment="1">
      <alignment vertical="center" wrapText="1"/>
    </xf>
    <xf numFmtId="38" fontId="2" fillId="16" borderId="8" xfId="0" applyNumberFormat="1" applyFont="1" applyFill="1" applyBorder="1" applyAlignment="1" applyProtection="1">
      <protection locked="0"/>
    </xf>
    <xf numFmtId="38" fontId="2" fillId="16" borderId="4" xfId="0" applyNumberFormat="1" applyFont="1" applyFill="1" applyBorder="1" applyAlignment="1" applyProtection="1">
      <protection locked="0"/>
    </xf>
    <xf numFmtId="38" fontId="89" fillId="0" borderId="90" xfId="0" applyNumberFormat="1" applyFont="1" applyBorder="1" applyAlignment="1"/>
    <xf numFmtId="38" fontId="89" fillId="0" borderId="89" xfId="0" applyNumberFormat="1" applyFont="1" applyBorder="1" applyAlignment="1"/>
    <xf numFmtId="3" fontId="2" fillId="0" borderId="0" xfId="0" applyNumberFormat="1" applyFont="1" applyBorder="1" applyAlignment="1">
      <alignment horizontal="center" vertical="center" shrinkToFit="1"/>
    </xf>
    <xf numFmtId="3" fontId="2" fillId="0" borderId="0" xfId="0" applyNumberFormat="1" applyFont="1" applyBorder="1" applyAlignment="1">
      <alignment shrinkToFit="1"/>
    </xf>
    <xf numFmtId="3" fontId="89" fillId="0" borderId="19" xfId="0" applyNumberFormat="1" applyFont="1" applyBorder="1" applyAlignment="1">
      <alignment shrinkToFit="1"/>
    </xf>
    <xf numFmtId="3" fontId="2" fillId="0" borderId="19" xfId="0" applyNumberFormat="1" applyFont="1" applyBorder="1" applyAlignment="1">
      <alignment shrinkToFit="1"/>
    </xf>
    <xf numFmtId="0" fontId="2" fillId="0" borderId="19" xfId="0" applyFont="1" applyBorder="1" applyAlignment="1">
      <alignment horizontal="right"/>
    </xf>
    <xf numFmtId="38" fontId="2" fillId="2" borderId="28" xfId="0" applyNumberFormat="1" applyFont="1" applyFill="1" applyBorder="1" applyAlignment="1" applyProtection="1">
      <protection locked="0"/>
    </xf>
    <xf numFmtId="0" fontId="79" fillId="0" borderId="19" xfId="0" applyFont="1" applyBorder="1"/>
    <xf numFmtId="0" fontId="2" fillId="0" borderId="0" xfId="0" applyFont="1" applyBorder="1"/>
    <xf numFmtId="0" fontId="2" fillId="0" borderId="0" xfId="0" applyFont="1" applyBorder="1" applyAlignment="1">
      <alignment horizontal="center"/>
    </xf>
    <xf numFmtId="0" fontId="2" fillId="0" borderId="0" xfId="0" applyFont="1" applyFill="1" applyBorder="1" applyAlignment="1">
      <alignment vertical="top" shrinkToFit="1"/>
    </xf>
    <xf numFmtId="0" fontId="20" fillId="0" borderId="0" xfId="0" applyFont="1" applyAlignment="1">
      <alignment horizontal="center"/>
    </xf>
    <xf numFmtId="0" fontId="19" fillId="0" borderId="0" xfId="0" applyFont="1" applyAlignment="1">
      <alignment horizontal="center"/>
    </xf>
    <xf numFmtId="0" fontId="2" fillId="0" borderId="0" xfId="0" applyFont="1" applyAlignment="1">
      <alignment horizontal="justify" wrapText="1"/>
    </xf>
    <xf numFmtId="0" fontId="3" fillId="9" borderId="0" xfId="0" applyFont="1" applyFill="1" applyAlignment="1">
      <alignment horizontal="center"/>
    </xf>
    <xf numFmtId="0" fontId="34" fillId="0" borderId="0" xfId="0" applyFont="1" applyAlignment="1">
      <alignment horizontal="justify" wrapText="1"/>
    </xf>
    <xf numFmtId="0" fontId="3" fillId="0" borderId="0" xfId="0" applyFont="1" applyAlignment="1">
      <alignment wrapText="1"/>
    </xf>
    <xf numFmtId="0" fontId="2" fillId="0" borderId="0" xfId="0" applyFont="1" applyAlignment="1">
      <alignment wrapText="1"/>
    </xf>
    <xf numFmtId="0" fontId="14" fillId="0" borderId="0" xfId="0" applyFont="1" applyAlignment="1">
      <alignment wrapText="1"/>
    </xf>
    <xf numFmtId="0" fontId="9" fillId="0" borderId="0" xfId="0" applyFont="1" applyAlignment="1">
      <alignment horizontal="justify" wrapText="1"/>
    </xf>
    <xf numFmtId="0" fontId="3" fillId="0" borderId="6" xfId="0" applyFont="1" applyBorder="1" applyAlignment="1">
      <alignment wrapText="1" shrinkToFit="1"/>
    </xf>
    <xf numFmtId="37" fontId="0" fillId="2" borderId="8" xfId="0" applyNumberFormat="1" applyFill="1" applyBorder="1" applyAlignment="1" applyProtection="1">
      <alignment shrinkToFit="1"/>
      <protection locked="0"/>
    </xf>
    <xf numFmtId="37" fontId="0" fillId="2" borderId="13" xfId="0" applyNumberFormat="1" applyFill="1" applyBorder="1" applyAlignment="1" applyProtection="1">
      <alignment shrinkToFit="1"/>
      <protection locked="0"/>
    </xf>
    <xf numFmtId="37" fontId="0" fillId="2" borderId="12" xfId="0" applyNumberFormat="1" applyFill="1" applyBorder="1" applyAlignment="1" applyProtection="1">
      <alignment shrinkToFit="1"/>
      <protection locked="0"/>
    </xf>
    <xf numFmtId="0" fontId="1" fillId="0" borderId="14" xfId="0" applyFont="1" applyBorder="1" applyAlignment="1">
      <alignment shrinkToFit="1"/>
    </xf>
    <xf numFmtId="0" fontId="1" fillId="0" borderId="8" xfId="0" applyFont="1" applyBorder="1" applyAlignment="1">
      <alignment shrinkToFit="1"/>
    </xf>
    <xf numFmtId="0" fontId="10" fillId="0" borderId="8" xfId="0" applyFont="1" applyBorder="1" applyAlignment="1">
      <alignment horizontal="center" vertical="center" shrinkToFit="1"/>
    </xf>
    <xf numFmtId="0" fontId="2" fillId="2" borderId="8" xfId="0" applyFont="1" applyFill="1" applyBorder="1" applyAlignment="1" applyProtection="1">
      <alignment shrinkToFit="1"/>
      <protection locked="0"/>
    </xf>
    <xf numFmtId="0" fontId="0" fillId="0" borderId="14" xfId="0" applyBorder="1" applyAlignment="1">
      <alignment shrinkToFit="1"/>
    </xf>
    <xf numFmtId="0" fontId="0" fillId="0" borderId="8" xfId="0" applyBorder="1" applyAlignment="1">
      <alignment shrinkToFit="1"/>
    </xf>
    <xf numFmtId="0" fontId="10" fillId="0" borderId="13" xfId="0" applyFont="1" applyBorder="1" applyAlignment="1">
      <alignment horizontal="center" wrapText="1"/>
    </xf>
    <xf numFmtId="0" fontId="10" fillId="0" borderId="14" xfId="0" applyFont="1" applyBorder="1" applyAlignment="1">
      <alignment horizontal="center" wrapText="1"/>
    </xf>
    <xf numFmtId="0" fontId="6" fillId="0" borderId="72" xfId="0" applyFont="1" applyBorder="1"/>
    <xf numFmtId="0" fontId="6" fillId="0" borderId="15" xfId="0" applyFont="1" applyBorder="1"/>
    <xf numFmtId="0" fontId="6" fillId="0" borderId="18" xfId="0" applyFont="1" applyBorder="1"/>
    <xf numFmtId="0" fontId="6" fillId="0" borderId="16" xfId="0" applyFont="1" applyBorder="1"/>
    <xf numFmtId="37" fontId="0" fillId="2" borderId="39" xfId="0" applyNumberFormat="1" applyFill="1" applyBorder="1" applyProtection="1">
      <protection locked="0"/>
    </xf>
    <xf numFmtId="37" fontId="0" fillId="2" borderId="3" xfId="0" applyNumberFormat="1" applyFill="1" applyBorder="1" applyProtection="1">
      <protection locked="0"/>
    </xf>
    <xf numFmtId="0" fontId="10" fillId="0" borderId="6" xfId="0" applyFont="1" applyBorder="1" applyAlignment="1">
      <alignment vertical="center" wrapText="1"/>
    </xf>
    <xf numFmtId="0" fontId="10" fillId="0" borderId="0" xfId="0" applyFont="1" applyBorder="1" applyAlignment="1">
      <alignment vertical="center" wrapText="1"/>
    </xf>
    <xf numFmtId="0" fontId="10" fillId="0" borderId="17" xfId="0" applyFont="1" applyBorder="1" applyAlignment="1">
      <alignment vertical="center" wrapText="1"/>
    </xf>
    <xf numFmtId="0" fontId="3" fillId="0" borderId="0" xfId="0" applyFont="1" applyBorder="1" applyAlignment="1">
      <alignment vertical="center"/>
    </xf>
    <xf numFmtId="0" fontId="10" fillId="0" borderId="18" xfId="0" applyFont="1" applyFill="1" applyBorder="1" applyAlignment="1">
      <alignment horizontal="center" vertical="center" wrapText="1"/>
    </xf>
    <xf numFmtId="0" fontId="6" fillId="0" borderId="0" xfId="0" applyFont="1" applyAlignment="1"/>
    <xf numFmtId="170" fontId="1" fillId="2" borderId="13" xfId="0" applyNumberFormat="1" applyFont="1" applyFill="1" applyBorder="1" applyAlignment="1" applyProtection="1">
      <alignment horizontal="center"/>
      <protection locked="0"/>
    </xf>
    <xf numFmtId="170" fontId="1" fillId="2" borderId="12" xfId="0" applyNumberFormat="1" applyFont="1" applyFill="1" applyBorder="1" applyAlignment="1" applyProtection="1">
      <alignment horizontal="center"/>
      <protection locked="0"/>
    </xf>
    <xf numFmtId="170" fontId="1" fillId="2" borderId="14" xfId="0" applyNumberFormat="1" applyFont="1" applyFill="1" applyBorder="1" applyAlignment="1" applyProtection="1">
      <alignment horizontal="center"/>
      <protection locked="0"/>
    </xf>
    <xf numFmtId="167" fontId="21" fillId="2" borderId="8" xfId="0" applyNumberFormat="1" applyFont="1" applyFill="1" applyBorder="1" applyAlignment="1" applyProtection="1">
      <alignment horizontal="center"/>
      <protection locked="0"/>
    </xf>
    <xf numFmtId="0" fontId="3" fillId="0" borderId="15" xfId="0" applyFont="1" applyBorder="1" applyAlignment="1">
      <alignment horizontal="center"/>
    </xf>
    <xf numFmtId="0" fontId="3" fillId="0" borderId="16" xfId="0" applyFont="1" applyBorder="1" applyAlignment="1">
      <alignment horizontal="center"/>
    </xf>
    <xf numFmtId="49" fontId="1" fillId="2" borderId="13" xfId="0" applyNumberFormat="1" applyFont="1" applyFill="1" applyBorder="1" applyAlignment="1" applyProtection="1">
      <protection locked="0"/>
    </xf>
    <xf numFmtId="49" fontId="0" fillId="0" borderId="14" xfId="0" applyNumberFormat="1" applyBorder="1" applyAlignment="1" applyProtection="1">
      <protection locked="0"/>
    </xf>
    <xf numFmtId="38" fontId="0" fillId="2" borderId="13" xfId="0" applyNumberFormat="1" applyFill="1" applyBorder="1" applyAlignment="1" applyProtection="1">
      <alignment shrinkToFit="1"/>
      <protection locked="0"/>
    </xf>
    <xf numFmtId="38" fontId="0" fillId="2" borderId="14" xfId="0" applyNumberFormat="1" applyFill="1" applyBorder="1" applyAlignment="1" applyProtection="1">
      <alignment shrinkToFit="1"/>
      <protection locked="0"/>
    </xf>
    <xf numFmtId="0" fontId="35" fillId="0" borderId="8" xfId="0" applyFont="1" applyBorder="1"/>
    <xf numFmtId="0" fontId="85" fillId="0" borderId="18" xfId="0" applyFont="1" applyBorder="1"/>
    <xf numFmtId="0" fontId="86" fillId="0" borderId="18" xfId="0" quotePrefix="1" applyFont="1" applyBorder="1"/>
    <xf numFmtId="0" fontId="6" fillId="0" borderId="13" xfId="0" applyNumberFormat="1" applyFont="1" applyBorder="1" applyAlignment="1">
      <alignment horizontal="center"/>
    </xf>
    <xf numFmtId="0" fontId="6" fillId="0" borderId="14" xfId="0" applyNumberFormat="1" applyFont="1" applyBorder="1" applyAlignment="1">
      <alignment horizontal="center"/>
    </xf>
    <xf numFmtId="0" fontId="3" fillId="8" borderId="6" xfId="0" applyFont="1" applyFill="1" applyBorder="1" applyAlignment="1">
      <alignment horizontal="justify" vertical="center" wrapText="1"/>
    </xf>
    <xf numFmtId="0" fontId="3" fillId="8" borderId="0" xfId="0" applyFont="1" applyFill="1" applyBorder="1" applyAlignment="1">
      <alignment horizontal="justify" vertical="center" wrapText="1"/>
    </xf>
    <xf numFmtId="0" fontId="3" fillId="8" borderId="17" xfId="0" applyFont="1" applyFill="1" applyBorder="1" applyAlignment="1">
      <alignment horizontal="justify" vertical="center" wrapText="1"/>
    </xf>
    <xf numFmtId="0" fontId="0" fillId="0" borderId="8" xfId="0" quotePrefix="1" applyBorder="1"/>
    <xf numFmtId="0" fontId="0" fillId="0" borderId="8" xfId="0" applyBorder="1"/>
    <xf numFmtId="0" fontId="16" fillId="8" borderId="39" xfId="0" applyFont="1" applyFill="1" applyBorder="1"/>
    <xf numFmtId="0" fontId="16" fillId="8" borderId="7" xfId="0" applyFont="1" applyFill="1" applyBorder="1"/>
    <xf numFmtId="0" fontId="16" fillId="8" borderId="3" xfId="0" applyFont="1" applyFill="1" applyBorder="1"/>
    <xf numFmtId="0" fontId="90" fillId="0" borderId="0" xfId="0" applyFont="1" applyBorder="1"/>
    <xf numFmtId="0" fontId="79" fillId="0" borderId="0" xfId="0" quotePrefix="1" applyFont="1" applyBorder="1"/>
    <xf numFmtId="0" fontId="6" fillId="0" borderId="15" xfId="0" applyFont="1" applyBorder="1" applyAlignment="1">
      <alignment vertical="center" wrapText="1"/>
    </xf>
    <xf numFmtId="0" fontId="6" fillId="0" borderId="16" xfId="0" applyFont="1" applyBorder="1" applyAlignment="1">
      <alignment vertical="center" wrapText="1"/>
    </xf>
    <xf numFmtId="0" fontId="0" fillId="0" borderId="39" xfId="0" applyBorder="1" applyAlignment="1">
      <alignment wrapText="1"/>
    </xf>
    <xf numFmtId="0" fontId="0" fillId="0" borderId="3" xfId="0" applyBorder="1" applyAlignment="1">
      <alignment wrapText="1"/>
    </xf>
    <xf numFmtId="0" fontId="25" fillId="0" borderId="6" xfId="0" applyFont="1" applyBorder="1" applyAlignment="1">
      <alignment horizontal="center" vertical="center" shrinkToFit="1"/>
    </xf>
    <xf numFmtId="0" fontId="25" fillId="0" borderId="17" xfId="0" applyFont="1" applyBorder="1" applyAlignment="1">
      <alignment horizontal="center" vertical="center" shrinkToFit="1"/>
    </xf>
    <xf numFmtId="0" fontId="25" fillId="0" borderId="39" xfId="0" applyFont="1" applyBorder="1" applyAlignment="1">
      <alignment horizontal="center" vertical="center" shrinkToFit="1"/>
    </xf>
    <xf numFmtId="0" fontId="25" fillId="0" borderId="3" xfId="0" applyFont="1" applyBorder="1" applyAlignment="1">
      <alignment horizontal="center" vertical="center" shrinkToFit="1"/>
    </xf>
    <xf numFmtId="0" fontId="6" fillId="0" borderId="5" xfId="0" applyFont="1" applyBorder="1" applyAlignment="1">
      <alignment horizontal="center"/>
    </xf>
    <xf numFmtId="0" fontId="6" fillId="0" borderId="10" xfId="0" applyFont="1" applyBorder="1" applyAlignment="1">
      <alignment horizontal="center" shrinkToFit="1"/>
    </xf>
    <xf numFmtId="0" fontId="6" fillId="0" borderId="5" xfId="0" applyFont="1" applyBorder="1" applyAlignment="1">
      <alignment horizontal="center" shrinkToFit="1"/>
    </xf>
    <xf numFmtId="0" fontId="35" fillId="0" borderId="13" xfId="0" applyFont="1" applyBorder="1"/>
    <xf numFmtId="0" fontId="35" fillId="0" borderId="14" xfId="0" applyFont="1" applyBorder="1"/>
    <xf numFmtId="0" fontId="9" fillId="8" borderId="15" xfId="0" applyFont="1" applyFill="1" applyBorder="1" applyAlignment="1">
      <alignment horizontal="justify" vertical="center" wrapText="1"/>
    </xf>
    <xf numFmtId="0" fontId="9" fillId="8" borderId="18" xfId="0" applyFont="1" applyFill="1" applyBorder="1" applyAlignment="1">
      <alignment horizontal="justify" vertical="center" wrapText="1"/>
    </xf>
    <xf numFmtId="0" fontId="9" fillId="8" borderId="16" xfId="0" applyFont="1" applyFill="1" applyBorder="1" applyAlignment="1">
      <alignment horizontal="justify" vertical="center" wrapText="1"/>
    </xf>
    <xf numFmtId="0" fontId="3" fillId="0" borderId="18" xfId="0" applyFont="1" applyFill="1" applyBorder="1" applyAlignment="1">
      <alignment wrapText="1"/>
    </xf>
    <xf numFmtId="0" fontId="3" fillId="0" borderId="18" xfId="0" applyFont="1" applyBorder="1" applyAlignment="1">
      <alignment wrapText="1"/>
    </xf>
    <xf numFmtId="0" fontId="2" fillId="0" borderId="18" xfId="0" applyFont="1" applyBorder="1" applyAlignment="1">
      <alignment wrapText="1"/>
    </xf>
    <xf numFmtId="37" fontId="0" fillId="0" borderId="8" xfId="0" applyNumberFormat="1" applyFill="1" applyBorder="1" applyAlignment="1" applyProtection="1">
      <alignment shrinkToFit="1"/>
    </xf>
    <xf numFmtId="37" fontId="0" fillId="0" borderId="13" xfId="0" applyNumberFormat="1" applyFill="1" applyBorder="1" applyAlignment="1" applyProtection="1">
      <alignment shrinkToFit="1"/>
    </xf>
    <xf numFmtId="0" fontId="2" fillId="0" borderId="9" xfId="0" applyFont="1" applyBorder="1" applyAlignment="1">
      <alignment horizontal="center" vertical="center" shrinkToFit="1"/>
    </xf>
    <xf numFmtId="0" fontId="1" fillId="2" borderId="13" xfId="0" applyFont="1" applyFill="1" applyBorder="1" applyProtection="1">
      <protection locked="0"/>
    </xf>
    <xf numFmtId="0" fontId="0" fillId="2" borderId="12" xfId="0" applyFill="1" applyBorder="1" applyProtection="1">
      <protection locked="0"/>
    </xf>
    <xf numFmtId="0" fontId="0" fillId="2" borderId="14" xfId="0" applyFill="1" applyBorder="1" applyProtection="1">
      <protection locked="0"/>
    </xf>
    <xf numFmtId="166" fontId="0" fillId="2" borderId="13" xfId="0" applyNumberFormat="1" applyFill="1" applyBorder="1" applyAlignment="1" applyProtection="1">
      <alignment horizontal="center"/>
      <protection locked="0"/>
    </xf>
    <xf numFmtId="166" fontId="0" fillId="2" borderId="12" xfId="0" applyNumberFormat="1" applyFill="1" applyBorder="1" applyAlignment="1" applyProtection="1">
      <alignment horizontal="center"/>
      <protection locked="0"/>
    </xf>
    <xf numFmtId="166" fontId="0" fillId="2" borderId="14" xfId="0" applyNumberFormat="1" applyFill="1" applyBorder="1" applyAlignment="1" applyProtection="1">
      <alignment horizontal="center"/>
      <protection locked="0"/>
    </xf>
    <xf numFmtId="0" fontId="0" fillId="2" borderId="13" xfId="0" applyFill="1" applyBorder="1" applyAlignment="1" applyProtection="1">
      <alignment horizontal="center"/>
      <protection locked="0"/>
    </xf>
    <xf numFmtId="0" fontId="0" fillId="2" borderId="12" xfId="0" applyFill="1" applyBorder="1" applyAlignment="1" applyProtection="1">
      <alignment horizontal="center"/>
      <protection locked="0"/>
    </xf>
    <xf numFmtId="0" fontId="0" fillId="2" borderId="14" xfId="0" applyFill="1" applyBorder="1" applyAlignment="1" applyProtection="1">
      <alignment horizontal="center"/>
      <protection locked="0"/>
    </xf>
    <xf numFmtId="0" fontId="2" fillId="0" borderId="0" xfId="0" applyFont="1" applyAlignment="1" applyProtection="1">
      <alignment horizontal="justify" vertical="center" wrapText="1"/>
    </xf>
    <xf numFmtId="0" fontId="10" fillId="0" borderId="0" xfId="0" applyFont="1" applyAlignment="1">
      <alignment vertical="top"/>
    </xf>
    <xf numFmtId="170" fontId="0" fillId="2" borderId="13" xfId="0" applyNumberFormat="1" applyFill="1" applyBorder="1" applyAlignment="1" applyProtection="1">
      <alignment horizontal="center"/>
      <protection locked="0"/>
    </xf>
    <xf numFmtId="170" fontId="0" fillId="2" borderId="14" xfId="0" applyNumberFormat="1" applyFill="1" applyBorder="1" applyAlignment="1" applyProtection="1">
      <alignment horizontal="center"/>
      <protection locked="0"/>
    </xf>
    <xf numFmtId="37" fontId="0" fillId="2" borderId="5" xfId="0" applyNumberFormat="1" applyFill="1" applyBorder="1" applyAlignment="1" applyProtection="1">
      <alignment shrinkToFit="1"/>
      <protection locked="0"/>
    </xf>
    <xf numFmtId="37" fontId="0" fillId="2" borderId="39" xfId="0" applyNumberFormat="1" applyFill="1" applyBorder="1" applyAlignment="1" applyProtection="1">
      <alignment shrinkToFit="1"/>
      <protection locked="0"/>
    </xf>
    <xf numFmtId="0" fontId="3" fillId="0" borderId="39" xfId="0" applyFont="1" applyBorder="1" applyAlignment="1">
      <alignment horizontal="center"/>
    </xf>
    <xf numFmtId="0" fontId="3" fillId="0" borderId="7" xfId="0" applyFont="1" applyBorder="1" applyAlignment="1">
      <alignment horizontal="center"/>
    </xf>
    <xf numFmtId="0" fontId="6" fillId="0" borderId="18" xfId="0" applyFont="1" applyBorder="1" applyAlignment="1">
      <alignment horizontal="center" shrinkToFit="1"/>
    </xf>
    <xf numFmtId="0" fontId="10" fillId="0" borderId="73" xfId="0" applyFont="1" applyBorder="1" applyAlignment="1">
      <alignment horizontal="center" wrapText="1"/>
    </xf>
    <xf numFmtId="0" fontId="10" fillId="0" borderId="38" xfId="0" applyFont="1" applyBorder="1" applyAlignment="1">
      <alignment horizontal="center" wrapText="1"/>
    </xf>
    <xf numFmtId="0" fontId="12" fillId="0" borderId="15" xfId="0" applyFont="1" applyBorder="1" applyAlignment="1">
      <alignment horizontal="center" vertical="center" wrapText="1"/>
    </xf>
    <xf numFmtId="0" fontId="12" fillId="0" borderId="16" xfId="0" applyFont="1" applyBorder="1" applyAlignment="1">
      <alignment horizontal="center" vertical="center" wrapText="1"/>
    </xf>
    <xf numFmtId="0" fontId="0" fillId="0" borderId="70" xfId="0" applyBorder="1" applyAlignment="1">
      <alignment shrinkToFit="1"/>
    </xf>
    <xf numFmtId="0" fontId="0" fillId="0" borderId="38" xfId="0" applyBorder="1" applyAlignment="1">
      <alignment shrinkToFit="1"/>
    </xf>
    <xf numFmtId="49" fontId="1" fillId="2" borderId="13" xfId="0" applyNumberFormat="1" applyFont="1" applyFill="1" applyBorder="1" applyAlignment="1" applyProtection="1">
      <alignment shrinkToFit="1"/>
      <protection locked="0"/>
    </xf>
    <xf numFmtId="0" fontId="10" fillId="0" borderId="39" xfId="0" applyFont="1" applyBorder="1" applyAlignment="1">
      <alignment vertical="center" wrapText="1"/>
    </xf>
    <xf numFmtId="0" fontId="10" fillId="0" borderId="7" xfId="0" applyFont="1" applyBorder="1" applyAlignment="1">
      <alignment vertical="center" wrapText="1"/>
    </xf>
    <xf numFmtId="0" fontId="10" fillId="0" borderId="3" xfId="0" applyFont="1" applyBorder="1" applyAlignment="1">
      <alignment vertical="center" wrapText="1"/>
    </xf>
    <xf numFmtId="0" fontId="6" fillId="0" borderId="8" xfId="0" applyFont="1" applyBorder="1" applyAlignment="1">
      <alignment vertical="center" shrinkToFit="1"/>
    </xf>
    <xf numFmtId="169" fontId="2" fillId="0" borderId="13" xfId="0" applyNumberFormat="1" applyFont="1" applyFill="1" applyBorder="1" applyAlignment="1" applyProtection="1">
      <alignment horizontal="center" shrinkToFit="1"/>
    </xf>
    <xf numFmtId="169" fontId="2" fillId="0" borderId="14" xfId="0" applyNumberFormat="1" applyFont="1" applyFill="1" applyBorder="1" applyAlignment="1" applyProtection="1">
      <alignment horizontal="center" shrinkToFit="1"/>
    </xf>
    <xf numFmtId="0" fontId="2" fillId="0" borderId="8" xfId="0" applyFont="1" applyBorder="1" applyAlignment="1" applyProtection="1">
      <alignment wrapText="1"/>
    </xf>
    <xf numFmtId="38" fontId="2" fillId="0" borderId="8" xfId="0" applyNumberFormat="1" applyFont="1" applyFill="1" applyBorder="1" applyAlignment="1" applyProtection="1">
      <alignment shrinkToFit="1"/>
    </xf>
    <xf numFmtId="0" fontId="0" fillId="0" borderId="18" xfId="0" applyBorder="1" applyAlignment="1">
      <alignment horizontal="center"/>
    </xf>
    <xf numFmtId="0" fontId="2" fillId="0" borderId="8" xfId="0" applyFont="1" applyBorder="1" applyAlignment="1">
      <alignment wrapText="1"/>
    </xf>
    <xf numFmtId="38" fontId="2" fillId="2" borderId="8" xfId="0" applyNumberFormat="1" applyFont="1" applyFill="1" applyBorder="1" applyAlignment="1" applyProtection="1">
      <alignment shrinkToFit="1"/>
      <protection locked="0"/>
    </xf>
    <xf numFmtId="0" fontId="6" fillId="0" borderId="39" xfId="0" applyFont="1" applyBorder="1" applyAlignment="1">
      <alignment vertical="center" shrinkToFit="1"/>
    </xf>
    <xf numFmtId="0" fontId="6" fillId="0" borderId="3" xfId="0" applyFont="1" applyBorder="1" applyAlignment="1">
      <alignment vertical="center" shrinkToFit="1"/>
    </xf>
    <xf numFmtId="0" fontId="10" fillId="0" borderId="8" xfId="0" quotePrefix="1" applyFont="1" applyBorder="1" applyAlignment="1">
      <alignment horizontal="center" wrapText="1"/>
    </xf>
    <xf numFmtId="0" fontId="6" fillId="0" borderId="15" xfId="0" applyFont="1" applyBorder="1" applyAlignment="1">
      <alignment horizontal="center" vertical="center" shrinkToFit="1"/>
    </xf>
    <xf numFmtId="0" fontId="6" fillId="0" borderId="16" xfId="0" applyFont="1" applyBorder="1" applyAlignment="1">
      <alignment horizontal="center" vertical="center" shrinkToFit="1"/>
    </xf>
    <xf numFmtId="0" fontId="3" fillId="8" borderId="15" xfId="0" applyFont="1" applyFill="1" applyBorder="1" applyAlignment="1">
      <alignment horizontal="justify" vertical="center" wrapText="1"/>
    </xf>
    <xf numFmtId="0" fontId="0" fillId="0" borderId="18" xfId="0" applyBorder="1" applyAlignment="1">
      <alignment horizontal="justify" vertical="center" wrapText="1"/>
    </xf>
    <xf numFmtId="0" fontId="0" fillId="0" borderId="16" xfId="0" applyBorder="1" applyAlignment="1">
      <alignment horizontal="justify" vertical="center" wrapText="1"/>
    </xf>
    <xf numFmtId="0" fontId="6" fillId="8" borderId="39" xfId="0" applyFont="1" applyFill="1" applyBorder="1" applyAlignment="1">
      <alignment wrapText="1" shrinkToFit="1"/>
    </xf>
    <xf numFmtId="0" fontId="0" fillId="0" borderId="7" xfId="0" applyBorder="1" applyAlignment="1">
      <alignment wrapText="1" shrinkToFit="1"/>
    </xf>
    <xf numFmtId="0" fontId="0" fillId="0" borderId="3" xfId="0" applyBorder="1" applyAlignment="1">
      <alignment wrapText="1" shrinkToFit="1"/>
    </xf>
    <xf numFmtId="0" fontId="1" fillId="0" borderId="12" xfId="0" applyFont="1" applyBorder="1" applyAlignment="1">
      <alignment shrinkToFit="1"/>
    </xf>
    <xf numFmtId="0" fontId="6" fillId="0" borderId="8" xfId="0" applyFont="1" applyBorder="1" applyAlignment="1">
      <alignment horizontal="center"/>
    </xf>
    <xf numFmtId="0" fontId="0" fillId="0" borderId="14" xfId="0" applyFill="1" applyBorder="1" applyAlignment="1">
      <alignment shrinkToFit="1"/>
    </xf>
    <xf numFmtId="0" fontId="0" fillId="0" borderId="8" xfId="0" applyFill="1" applyBorder="1" applyAlignment="1">
      <alignment shrinkToFit="1"/>
    </xf>
    <xf numFmtId="0" fontId="10" fillId="6" borderId="8" xfId="0" applyFont="1" applyFill="1" applyBorder="1" applyAlignment="1">
      <alignment horizontal="center" vertical="center" shrinkToFit="1"/>
    </xf>
    <xf numFmtId="0" fontId="13" fillId="2" borderId="13" xfId="0" applyFont="1" applyFill="1" applyBorder="1" applyAlignment="1" applyProtection="1">
      <alignment horizontal="center"/>
      <protection locked="0"/>
    </xf>
    <xf numFmtId="0" fontId="3" fillId="0" borderId="18" xfId="0" applyFont="1" applyBorder="1" applyAlignment="1">
      <alignment horizontal="center"/>
    </xf>
    <xf numFmtId="167" fontId="0" fillId="2" borderId="13" xfId="0" applyNumberFormat="1" applyFill="1" applyBorder="1" applyAlignment="1" applyProtection="1">
      <alignment horizontal="center"/>
      <protection locked="0"/>
    </xf>
    <xf numFmtId="167" fontId="0" fillId="2" borderId="14" xfId="0" applyNumberFormat="1" applyFill="1" applyBorder="1" applyAlignment="1" applyProtection="1">
      <alignment horizontal="center"/>
      <protection locked="0"/>
    </xf>
    <xf numFmtId="0" fontId="3" fillId="0" borderId="0" xfId="0" applyFont="1" applyBorder="1" applyAlignment="1">
      <alignment vertical="center" wrapText="1"/>
    </xf>
    <xf numFmtId="0" fontId="9" fillId="0" borderId="72" xfId="0" applyFont="1" applyBorder="1" applyAlignment="1">
      <alignment horizontal="center" vertical="center"/>
    </xf>
    <xf numFmtId="0" fontId="3" fillId="0" borderId="4" xfId="0" applyFont="1" applyBorder="1" applyAlignment="1">
      <alignment horizontal="center" wrapText="1" shrinkToFit="1"/>
    </xf>
    <xf numFmtId="0" fontId="3" fillId="0" borderId="5" xfId="0" applyFont="1" applyBorder="1" applyAlignment="1">
      <alignment horizontal="center" wrapText="1" shrinkToFit="1"/>
    </xf>
    <xf numFmtId="0" fontId="6" fillId="0" borderId="0" xfId="0" applyFont="1" applyFill="1" applyAlignment="1">
      <alignment horizontal="center"/>
    </xf>
    <xf numFmtId="0" fontId="2" fillId="0" borderId="12" xfId="0" applyFont="1" applyFill="1" applyBorder="1" applyAlignment="1"/>
    <xf numFmtId="0" fontId="2" fillId="0" borderId="14" xfId="0" applyFont="1" applyFill="1" applyBorder="1" applyAlignment="1"/>
    <xf numFmtId="0" fontId="2" fillId="0" borderId="12" xfId="0" applyFont="1" applyFill="1" applyBorder="1" applyAlignment="1">
      <alignment wrapText="1"/>
    </xf>
    <xf numFmtId="0" fontId="2" fillId="0" borderId="14" xfId="0" applyFont="1" applyFill="1" applyBorder="1" applyAlignment="1">
      <alignment wrapText="1"/>
    </xf>
    <xf numFmtId="0" fontId="52" fillId="0" borderId="8" xfId="0" applyFont="1" applyBorder="1"/>
    <xf numFmtId="0" fontId="9" fillId="8" borderId="8" xfId="0" applyFont="1" applyFill="1" applyBorder="1" applyAlignment="1">
      <alignment wrapText="1"/>
    </xf>
    <xf numFmtId="0" fontId="6" fillId="0" borderId="0" xfId="0" quotePrefix="1" applyFont="1"/>
    <xf numFmtId="0" fontId="9" fillId="0" borderId="0" xfId="0" applyFont="1" applyAlignment="1">
      <alignment horizontal="left"/>
    </xf>
    <xf numFmtId="0" fontId="6" fillId="0" borderId="0" xfId="0" quotePrefix="1" applyFont="1" applyFill="1"/>
    <xf numFmtId="37" fontId="2" fillId="2" borderId="8" xfId="0" applyNumberFormat="1" applyFont="1" applyFill="1" applyBorder="1" applyAlignment="1" applyProtection="1">
      <alignment shrinkToFit="1"/>
      <protection locked="0"/>
    </xf>
    <xf numFmtId="37" fontId="2" fillId="0" borderId="13" xfId="0" applyNumberFormat="1" applyFont="1" applyBorder="1"/>
    <xf numFmtId="0" fontId="2" fillId="0" borderId="14" xfId="0" applyFont="1" applyBorder="1"/>
    <xf numFmtId="0" fontId="3" fillId="0" borderId="18" xfId="0" applyFont="1" applyBorder="1"/>
    <xf numFmtId="0" fontId="3" fillId="0" borderId="16" xfId="0" applyFont="1" applyBorder="1"/>
    <xf numFmtId="0" fontId="12" fillId="0" borderId="8" xfId="0" applyFont="1" applyBorder="1" applyAlignment="1">
      <alignment horizontal="center" wrapText="1"/>
    </xf>
    <xf numFmtId="0" fontId="9" fillId="0" borderId="18" xfId="0" quotePrefix="1" applyFont="1" applyBorder="1"/>
    <xf numFmtId="0" fontId="36" fillId="0" borderId="8" xfId="0" applyFont="1" applyBorder="1"/>
    <xf numFmtId="3" fontId="2" fillId="2" borderId="8" xfId="0" applyNumberFormat="1" applyFont="1" applyFill="1" applyBorder="1" applyAlignment="1" applyProtection="1">
      <alignment wrapText="1"/>
      <protection locked="0"/>
    </xf>
    <xf numFmtId="3" fontId="2" fillId="2" borderId="13" xfId="0" applyNumberFormat="1" applyFont="1" applyFill="1" applyBorder="1" applyAlignment="1" applyProtection="1">
      <alignment wrapText="1"/>
      <protection locked="0"/>
    </xf>
    <xf numFmtId="0" fontId="1" fillId="2" borderId="8" xfId="0" applyFont="1" applyFill="1" applyBorder="1" applyAlignment="1" applyProtection="1">
      <alignment shrinkToFit="1"/>
      <protection locked="0"/>
    </xf>
    <xf numFmtId="0" fontId="6" fillId="0" borderId="8" xfId="0" applyFont="1" applyBorder="1" applyAlignment="1">
      <alignment vertical="center" wrapText="1"/>
    </xf>
    <xf numFmtId="0" fontId="3" fillId="0" borderId="8" xfId="0" applyFont="1" applyFill="1" applyBorder="1" applyAlignment="1">
      <alignment horizontal="center"/>
    </xf>
    <xf numFmtId="0" fontId="2" fillId="0" borderId="8" xfId="0" applyFont="1" applyFill="1" applyBorder="1" applyAlignment="1">
      <alignment horizontal="center" shrinkToFit="1"/>
    </xf>
    <xf numFmtId="0" fontId="6" fillId="7" borderId="74" xfId="0" applyFont="1" applyFill="1" applyBorder="1" applyAlignment="1">
      <alignment horizontal="center"/>
    </xf>
    <xf numFmtId="0" fontId="6" fillId="7" borderId="9" xfId="0" applyFont="1" applyFill="1" applyBorder="1" applyAlignment="1">
      <alignment horizontal="center"/>
    </xf>
    <xf numFmtId="0" fontId="6" fillId="7" borderId="75" xfId="0" applyFont="1" applyFill="1" applyBorder="1" applyAlignment="1">
      <alignment horizontal="center"/>
    </xf>
    <xf numFmtId="0" fontId="2" fillId="0" borderId="12" xfId="0" applyFont="1" applyBorder="1" applyAlignment="1">
      <alignment horizontal="justify" wrapText="1"/>
    </xf>
    <xf numFmtId="0" fontId="2" fillId="0" borderId="14" xfId="0" applyFont="1" applyBorder="1" applyAlignment="1">
      <alignment horizontal="justify" wrapText="1"/>
    </xf>
    <xf numFmtId="0" fontId="10" fillId="0" borderId="13" xfId="0" applyFont="1" applyBorder="1" applyAlignment="1" applyProtection="1">
      <alignment horizontal="center" vertical="center" wrapText="1"/>
    </xf>
    <xf numFmtId="0" fontId="10" fillId="0" borderId="14" xfId="0" applyFont="1" applyBorder="1" applyAlignment="1" applyProtection="1">
      <alignment horizontal="center" vertical="center" wrapText="1"/>
    </xf>
    <xf numFmtId="37" fontId="0" fillId="0" borderId="13" xfId="0" quotePrefix="1" applyNumberFormat="1" applyBorder="1" applyProtection="1"/>
    <xf numFmtId="0" fontId="0" fillId="0" borderId="12" xfId="0" applyBorder="1" applyProtection="1"/>
    <xf numFmtId="0" fontId="9" fillId="2" borderId="8" xfId="0" applyFont="1" applyFill="1" applyBorder="1" applyProtection="1">
      <protection locked="0"/>
    </xf>
    <xf numFmtId="37" fontId="24" fillId="0" borderId="6" xfId="0" applyNumberFormat="1" applyFont="1" applyBorder="1" applyAlignment="1">
      <alignment horizontal="center" vertical="center" wrapText="1"/>
    </xf>
    <xf numFmtId="37" fontId="24" fillId="0" borderId="0" xfId="0" applyNumberFormat="1" applyFont="1" applyBorder="1" applyAlignment="1">
      <alignment horizontal="center" vertical="center" wrapText="1"/>
    </xf>
    <xf numFmtId="0" fontId="10" fillId="0" borderId="8" xfId="0" applyFont="1" applyBorder="1" applyAlignment="1" applyProtection="1">
      <alignment horizontal="center" vertical="center"/>
    </xf>
    <xf numFmtId="0" fontId="2" fillId="0" borderId="70" xfId="0" applyFont="1" applyBorder="1" applyAlignment="1">
      <alignment horizontal="justify" wrapText="1"/>
    </xf>
    <xf numFmtId="0" fontId="2" fillId="0" borderId="38" xfId="0" applyFont="1" applyBorder="1" applyAlignment="1">
      <alignment horizontal="justify" wrapText="1"/>
    </xf>
    <xf numFmtId="37" fontId="6" fillId="0" borderId="12" xfId="0" applyNumberFormat="1" applyFont="1" applyBorder="1" applyAlignment="1">
      <alignment horizontal="center" shrinkToFit="1"/>
    </xf>
    <xf numFmtId="37" fontId="0" fillId="0" borderId="15" xfId="0" applyNumberFormat="1" applyBorder="1"/>
    <xf numFmtId="37" fontId="0" fillId="0" borderId="18" xfId="0" applyNumberFormat="1" applyBorder="1"/>
    <xf numFmtId="37" fontId="0" fillId="0" borderId="37" xfId="0" applyNumberFormat="1" applyBorder="1"/>
    <xf numFmtId="37" fontId="0" fillId="0" borderId="19" xfId="0" applyNumberFormat="1" applyBorder="1"/>
    <xf numFmtId="37" fontId="0" fillId="0" borderId="14" xfId="0" applyNumberFormat="1" applyBorder="1"/>
    <xf numFmtId="37" fontId="0" fillId="0" borderId="8" xfId="0" applyNumberFormat="1" applyBorder="1"/>
    <xf numFmtId="0" fontId="0" fillId="0" borderId="14" xfId="0" applyBorder="1" applyAlignment="1" applyProtection="1">
      <alignment shrinkToFit="1"/>
    </xf>
    <xf numFmtId="0" fontId="0" fillId="0" borderId="8" xfId="0" applyBorder="1" applyAlignment="1" applyProtection="1">
      <alignment shrinkToFit="1"/>
    </xf>
    <xf numFmtId="0" fontId="21" fillId="0" borderId="12" xfId="0" applyFont="1" applyBorder="1" applyAlignment="1" applyProtection="1">
      <alignment horizontal="justify" wrapText="1"/>
    </xf>
    <xf numFmtId="0" fontId="21" fillId="0" borderId="14" xfId="0" applyFont="1" applyBorder="1" applyAlignment="1" applyProtection="1">
      <alignment horizontal="justify" wrapText="1"/>
    </xf>
    <xf numFmtId="0" fontId="21" fillId="0" borderId="8" xfId="0" applyFont="1" applyBorder="1" applyAlignment="1" applyProtection="1">
      <alignment horizontal="justify" wrapText="1"/>
    </xf>
    <xf numFmtId="37" fontId="0" fillId="0" borderId="73" xfId="0" quotePrefix="1" applyNumberFormat="1" applyBorder="1" applyProtection="1"/>
    <xf numFmtId="0" fontId="0" fillId="0" borderId="70" xfId="0" applyBorder="1" applyProtection="1"/>
    <xf numFmtId="0" fontId="3" fillId="0" borderId="18" xfId="0" applyFont="1" applyFill="1" applyBorder="1" applyAlignment="1"/>
    <xf numFmtId="37" fontId="0" fillId="0" borderId="71" xfId="0" quotePrefix="1" applyNumberFormat="1" applyBorder="1" applyProtection="1"/>
    <xf numFmtId="0" fontId="0" fillId="0" borderId="72" xfId="0" applyBorder="1" applyProtection="1"/>
    <xf numFmtId="0" fontId="10" fillId="0" borderId="73" xfId="0" applyFont="1" applyBorder="1" applyAlignment="1" applyProtection="1">
      <alignment horizontal="center"/>
    </xf>
    <xf numFmtId="0" fontId="10" fillId="0" borderId="38" xfId="0" applyFont="1" applyBorder="1" applyAlignment="1" applyProtection="1">
      <alignment horizontal="center"/>
    </xf>
    <xf numFmtId="37" fontId="0" fillId="0" borderId="39" xfId="0" applyNumberFormat="1" applyBorder="1"/>
    <xf numFmtId="37" fontId="0" fillId="0" borderId="7" xfId="0" applyNumberFormat="1" applyBorder="1"/>
    <xf numFmtId="0" fontId="2" fillId="0" borderId="0" xfId="0" applyFont="1" applyAlignment="1">
      <alignment vertical="center" wrapText="1"/>
    </xf>
    <xf numFmtId="0" fontId="13" fillId="0" borderId="20" xfId="0" applyFont="1" applyBorder="1" applyProtection="1"/>
    <xf numFmtId="0" fontId="9" fillId="2" borderId="13" xfId="0" applyFont="1" applyFill="1" applyBorder="1" applyAlignment="1" applyProtection="1">
      <alignment vertical="top" wrapText="1"/>
      <protection locked="0"/>
    </xf>
    <xf numFmtId="0" fontId="9" fillId="2" borderId="12" xfId="0" applyFont="1" applyFill="1" applyBorder="1" applyAlignment="1" applyProtection="1">
      <alignment vertical="top" wrapText="1"/>
      <protection locked="0"/>
    </xf>
    <xf numFmtId="0" fontId="9" fillId="2" borderId="14" xfId="0" applyFont="1" applyFill="1" applyBorder="1" applyAlignment="1" applyProtection="1">
      <alignment vertical="top" wrapText="1"/>
      <protection locked="0"/>
    </xf>
    <xf numFmtId="0" fontId="9" fillId="0" borderId="0" xfId="0" applyFont="1" applyFill="1" applyBorder="1" applyAlignment="1">
      <alignment wrapText="1"/>
    </xf>
    <xf numFmtId="0" fontId="3" fillId="0" borderId="0" xfId="0" applyFont="1" applyAlignment="1" applyProtection="1">
      <alignment horizontal="justify" vertical="center" wrapText="1"/>
    </xf>
    <xf numFmtId="0" fontId="2" fillId="0" borderId="0" xfId="0" applyFont="1" applyAlignment="1">
      <alignment horizontal="justify" vertical="center" wrapText="1"/>
    </xf>
    <xf numFmtId="0" fontId="3" fillId="0" borderId="0" xfId="0" applyFont="1" applyAlignment="1">
      <alignment vertical="center"/>
    </xf>
    <xf numFmtId="37" fontId="1" fillId="0" borderId="13" xfId="0" applyNumberFormat="1" applyFont="1" applyFill="1" applyBorder="1" applyAlignment="1">
      <alignment shrinkToFit="1"/>
    </xf>
    <xf numFmtId="37" fontId="1" fillId="0" borderId="14" xfId="0" applyNumberFormat="1" applyFont="1" applyFill="1" applyBorder="1" applyAlignment="1">
      <alignment shrinkToFit="1"/>
    </xf>
    <xf numFmtId="37" fontId="4" fillId="2" borderId="13" xfId="0" applyNumberFormat="1" applyFont="1" applyFill="1" applyBorder="1" applyProtection="1">
      <protection locked="0"/>
    </xf>
    <xf numFmtId="37" fontId="4" fillId="2" borderId="14" xfId="0" applyNumberFormat="1" applyFont="1" applyFill="1" applyBorder="1" applyProtection="1">
      <protection locked="0"/>
    </xf>
    <xf numFmtId="0" fontId="37" fillId="0" borderId="8" xfId="0" applyFont="1" applyBorder="1" applyAlignment="1">
      <alignment wrapText="1"/>
    </xf>
    <xf numFmtId="38" fontId="0" fillId="2" borderId="8" xfId="0" applyNumberFormat="1" applyFill="1" applyBorder="1" applyAlignment="1" applyProtection="1">
      <alignment shrinkToFit="1"/>
      <protection locked="0"/>
    </xf>
    <xf numFmtId="0" fontId="37" fillId="0" borderId="13" xfId="0" applyFont="1" applyBorder="1" applyAlignment="1"/>
    <xf numFmtId="0" fontId="37" fillId="0" borderId="14" xfId="0" applyFont="1" applyBorder="1" applyAlignment="1"/>
    <xf numFmtId="38" fontId="0" fillId="0" borderId="13" xfId="0" applyNumberFormat="1" applyFill="1" applyBorder="1" applyAlignment="1" applyProtection="1">
      <alignment shrinkToFit="1"/>
    </xf>
    <xf numFmtId="38" fontId="0" fillId="0" borderId="14" xfId="0" applyNumberFormat="1" applyFill="1" applyBorder="1" applyAlignment="1" applyProtection="1">
      <alignment shrinkToFit="1"/>
    </xf>
    <xf numFmtId="0" fontId="2" fillId="0" borderId="8" xfId="0" quotePrefix="1" applyFont="1" applyBorder="1" applyAlignment="1">
      <alignment horizontal="center" wrapText="1"/>
    </xf>
    <xf numFmtId="0" fontId="37" fillId="0" borderId="8" xfId="0" applyFont="1" applyBorder="1" applyAlignment="1">
      <alignment shrinkToFit="1"/>
    </xf>
    <xf numFmtId="37" fontId="0" fillId="0" borderId="71" xfId="0" applyNumberFormat="1" applyBorder="1"/>
    <xf numFmtId="37" fontId="0" fillId="0" borderId="72" xfId="0" applyNumberFormat="1" applyBorder="1"/>
    <xf numFmtId="37" fontId="0" fillId="0" borderId="13" xfId="0" applyNumberFormat="1" applyBorder="1"/>
    <xf numFmtId="37" fontId="0" fillId="0" borderId="12" xfId="0" applyNumberFormat="1" applyBorder="1"/>
    <xf numFmtId="0" fontId="2" fillId="0" borderId="0" xfId="0" applyFont="1" applyFill="1" applyAlignment="1">
      <alignment horizontal="justify" wrapText="1"/>
    </xf>
    <xf numFmtId="0" fontId="3" fillId="0" borderId="15" xfId="0" applyFont="1" applyBorder="1" applyAlignment="1">
      <alignment shrinkToFit="1"/>
    </xf>
    <xf numFmtId="0" fontId="3" fillId="0" borderId="18" xfId="0" applyFont="1" applyBorder="1" applyAlignment="1">
      <alignment shrinkToFit="1"/>
    </xf>
    <xf numFmtId="0" fontId="3" fillId="0" borderId="16" xfId="0" applyFont="1" applyBorder="1" applyAlignment="1">
      <alignment shrinkToFit="1"/>
    </xf>
    <xf numFmtId="0" fontId="2" fillId="0" borderId="6" xfId="0" applyFont="1" applyBorder="1"/>
    <xf numFmtId="0" fontId="2" fillId="0" borderId="0" xfId="0" applyFont="1" applyBorder="1"/>
    <xf numFmtId="0" fontId="2" fillId="0" borderId="17" xfId="0" applyFont="1" applyBorder="1"/>
    <xf numFmtId="0" fontId="2" fillId="0" borderId="39" xfId="0" applyFont="1" applyBorder="1"/>
    <xf numFmtId="0" fontId="2" fillId="0" borderId="7" xfId="0" applyFont="1" applyBorder="1"/>
    <xf numFmtId="0" fontId="2" fillId="0" borderId="3" xfId="0" applyFont="1" applyBorder="1"/>
    <xf numFmtId="0" fontId="10" fillId="0" borderId="0" xfId="0" applyFont="1" applyAlignment="1">
      <alignment horizontal="right"/>
    </xf>
    <xf numFmtId="0" fontId="10" fillId="0" borderId="0" xfId="0" applyFont="1" applyBorder="1" applyAlignment="1">
      <alignment horizontal="right"/>
    </xf>
    <xf numFmtId="37" fontId="5" fillId="0" borderId="43" xfId="0" applyNumberFormat="1" applyFont="1" applyFill="1" applyBorder="1"/>
    <xf numFmtId="37" fontId="5" fillId="0" borderId="76" xfId="0" applyNumberFormat="1" applyFont="1" applyFill="1" applyBorder="1"/>
    <xf numFmtId="37" fontId="5" fillId="0" borderId="77" xfId="0" applyNumberFormat="1" applyFont="1" applyFill="1" applyBorder="1"/>
    <xf numFmtId="0" fontId="5" fillId="0" borderId="43" xfId="0" applyFont="1" applyFill="1" applyBorder="1" applyAlignment="1">
      <alignment horizontal="center"/>
    </xf>
    <xf numFmtId="0" fontId="5" fillId="0" borderId="77" xfId="0" applyFont="1" applyFill="1" applyBorder="1" applyAlignment="1">
      <alignment horizontal="center"/>
    </xf>
    <xf numFmtId="0" fontId="4" fillId="0" borderId="0" xfId="0" applyFont="1" applyAlignment="1"/>
    <xf numFmtId="0" fontId="3" fillId="0" borderId="43" xfId="0" applyFont="1" applyFill="1" applyBorder="1" applyAlignment="1">
      <alignment horizontal="center" shrinkToFit="1"/>
    </xf>
    <xf numFmtId="0" fontId="3" fillId="0" borderId="76" xfId="0" applyFont="1" applyFill="1" applyBorder="1" applyAlignment="1">
      <alignment horizontal="center" shrinkToFit="1"/>
    </xf>
    <xf numFmtId="0" fontId="3" fillId="0" borderId="77" xfId="0" applyFont="1" applyFill="1" applyBorder="1" applyAlignment="1">
      <alignment horizontal="center" shrinkToFit="1"/>
    </xf>
    <xf numFmtId="0" fontId="13" fillId="0" borderId="0" xfId="0" applyFont="1" applyFill="1" applyAlignment="1">
      <alignment horizontal="right"/>
    </xf>
    <xf numFmtId="0" fontId="10" fillId="0" borderId="7" xfId="0" applyFont="1" applyBorder="1" applyAlignment="1">
      <alignment horizontal="right"/>
    </xf>
    <xf numFmtId="0" fontId="8" fillId="0" borderId="0" xfId="0" applyFont="1" applyBorder="1"/>
    <xf numFmtId="0" fontId="8" fillId="0" borderId="7" xfId="0" applyFont="1" applyBorder="1"/>
    <xf numFmtId="167" fontId="6" fillId="0" borderId="43" xfId="0" applyNumberFormat="1" applyFont="1" applyFill="1" applyBorder="1" applyAlignment="1">
      <alignment horizontal="center"/>
    </xf>
    <xf numFmtId="167" fontId="6" fillId="0" borderId="76" xfId="0" applyNumberFormat="1" applyFont="1" applyFill="1" applyBorder="1" applyAlignment="1">
      <alignment horizontal="center"/>
    </xf>
    <xf numFmtId="167" fontId="6" fillId="0" borderId="77" xfId="0" applyNumberFormat="1" applyFont="1" applyFill="1" applyBorder="1" applyAlignment="1">
      <alignment horizontal="center"/>
    </xf>
    <xf numFmtId="14" fontId="5" fillId="0" borderId="43" xfId="0" applyNumberFormat="1" applyFont="1" applyFill="1" applyBorder="1" applyAlignment="1">
      <alignment horizontal="center"/>
    </xf>
    <xf numFmtId="14" fontId="5" fillId="0" borderId="77" xfId="0" applyNumberFormat="1" applyFont="1" applyFill="1" applyBorder="1" applyAlignment="1">
      <alignment horizontal="center"/>
    </xf>
    <xf numFmtId="0" fontId="10" fillId="0" borderId="0" xfId="0" applyFont="1" applyFill="1" applyAlignment="1">
      <alignment horizontal="center"/>
    </xf>
    <xf numFmtId="0" fontId="5" fillId="0" borderId="65" xfId="0" applyFont="1" applyFill="1" applyBorder="1" applyAlignment="1">
      <alignment horizontal="center"/>
    </xf>
    <xf numFmtId="0" fontId="5" fillId="0" borderId="67" xfId="0" applyFont="1" applyFill="1" applyBorder="1" applyAlignment="1">
      <alignment horizontal="center"/>
    </xf>
    <xf numFmtId="0" fontId="5" fillId="0" borderId="43" xfId="0" applyFont="1" applyFill="1" applyBorder="1" applyAlignment="1">
      <alignment shrinkToFit="1"/>
    </xf>
    <xf numFmtId="0" fontId="5" fillId="0" borderId="76" xfId="0" applyFont="1" applyFill="1" applyBorder="1" applyAlignment="1">
      <alignment shrinkToFit="1"/>
    </xf>
    <xf numFmtId="0" fontId="5" fillId="0" borderId="77" xfId="0" applyFont="1" applyFill="1" applyBorder="1" applyAlignment="1">
      <alignment shrinkToFit="1"/>
    </xf>
    <xf numFmtId="0" fontId="2" fillId="0" borderId="0" xfId="0" applyFont="1" applyAlignment="1">
      <alignment horizontal="right"/>
    </xf>
    <xf numFmtId="0" fontId="7" fillId="0" borderId="0" xfId="0" applyFont="1" applyAlignment="1">
      <alignment vertical="top" wrapText="1"/>
    </xf>
    <xf numFmtId="165" fontId="5" fillId="0" borderId="43" xfId="0" quotePrefix="1" applyNumberFormat="1" applyFont="1" applyBorder="1" applyAlignment="1">
      <alignment horizontal="center"/>
    </xf>
    <xf numFmtId="165" fontId="5" fillId="0" borderId="77" xfId="0" quotePrefix="1" applyNumberFormat="1" applyFont="1" applyBorder="1" applyAlignment="1">
      <alignment horizontal="center"/>
    </xf>
    <xf numFmtId="0" fontId="10" fillId="0" borderId="0" xfId="0" applyFont="1" applyAlignment="1">
      <alignment vertical="top" wrapText="1"/>
    </xf>
    <xf numFmtId="0" fontId="5" fillId="0" borderId="15" xfId="0" applyFont="1" applyBorder="1" applyAlignment="1">
      <alignment horizontal="center"/>
    </xf>
    <xf numFmtId="0" fontId="5" fillId="0" borderId="18" xfId="0" applyFont="1" applyBorder="1" applyAlignment="1">
      <alignment horizontal="center"/>
    </xf>
    <xf numFmtId="0" fontId="5" fillId="0" borderId="16" xfId="0" applyFont="1" applyBorder="1" applyAlignment="1">
      <alignment horizontal="center"/>
    </xf>
    <xf numFmtId="0" fontId="5" fillId="0" borderId="39" xfId="0" applyFont="1" applyBorder="1" applyAlignment="1">
      <alignment horizontal="center"/>
    </xf>
    <xf numFmtId="0" fontId="5" fillId="0" borderId="7" xfId="0" applyFont="1" applyBorder="1" applyAlignment="1">
      <alignment horizontal="center"/>
    </xf>
    <xf numFmtId="0" fontId="5" fillId="0" borderId="3" xfId="0" applyFont="1" applyBorder="1" applyAlignment="1">
      <alignment horizontal="center"/>
    </xf>
    <xf numFmtId="0" fontId="9" fillId="0" borderId="6" xfId="0" applyFont="1" applyBorder="1" applyAlignment="1">
      <alignment horizontal="center" wrapText="1"/>
    </xf>
    <xf numFmtId="0" fontId="9" fillId="0" borderId="17" xfId="0" applyFont="1" applyBorder="1" applyAlignment="1">
      <alignment horizontal="center" wrapText="1"/>
    </xf>
    <xf numFmtId="0" fontId="9" fillId="0" borderId="39" xfId="0" applyFont="1" applyBorder="1" applyAlignment="1">
      <alignment horizontal="center" wrapText="1"/>
    </xf>
    <xf numFmtId="0" fontId="9" fillId="0" borderId="3" xfId="0" applyFont="1" applyBorder="1" applyAlignment="1">
      <alignment horizontal="center" wrapText="1"/>
    </xf>
    <xf numFmtId="166" fontId="11" fillId="0" borderId="0" xfId="0" applyNumberFormat="1" applyFont="1" applyBorder="1" applyAlignment="1">
      <alignment horizontal="right" vertical="center" wrapText="1"/>
    </xf>
    <xf numFmtId="0" fontId="11" fillId="0" borderId="0" xfId="0" applyFont="1" applyBorder="1" applyAlignment="1">
      <alignment horizontal="right" vertical="center" wrapText="1"/>
    </xf>
    <xf numFmtId="0" fontId="5" fillId="0" borderId="1" xfId="0" applyFont="1" applyFill="1" applyBorder="1"/>
    <xf numFmtId="0" fontId="5" fillId="0" borderId="76" xfId="0" applyFont="1" applyFill="1" applyBorder="1" applyAlignment="1">
      <alignment horizontal="center"/>
    </xf>
    <xf numFmtId="0" fontId="5" fillId="0" borderId="0" xfId="0" applyFont="1" applyAlignment="1">
      <alignment horizontal="center"/>
    </xf>
    <xf numFmtId="0" fontId="12" fillId="0" borderId="0" xfId="0" applyFont="1" applyAlignment="1">
      <alignment vertical="center"/>
    </xf>
    <xf numFmtId="170" fontId="1" fillId="0" borderId="7" xfId="0" applyNumberFormat="1" applyFont="1" applyBorder="1" applyAlignment="1">
      <alignment horizontal="center" shrinkToFit="1"/>
    </xf>
    <xf numFmtId="0" fontId="2" fillId="0" borderId="18" xfId="0" applyFont="1" applyFill="1" applyBorder="1" applyAlignment="1">
      <alignment vertical="top" shrinkToFit="1"/>
    </xf>
    <xf numFmtId="0" fontId="6" fillId="0" borderId="4" xfId="0" applyFont="1" applyBorder="1" applyAlignment="1">
      <alignment horizontal="center" vertical="center" wrapText="1"/>
    </xf>
    <xf numFmtId="0" fontId="6" fillId="0" borderId="10" xfId="0" applyFont="1" applyBorder="1" applyAlignment="1">
      <alignment horizontal="center" vertical="center"/>
    </xf>
    <xf numFmtId="0" fontId="6" fillId="0" borderId="5" xfId="0" applyFont="1" applyBorder="1" applyAlignment="1">
      <alignment horizontal="center" vertical="center"/>
    </xf>
    <xf numFmtId="0" fontId="6" fillId="0" borderId="0" xfId="0" applyFont="1" applyBorder="1" applyAlignment="1">
      <alignment horizontal="center"/>
    </xf>
    <xf numFmtId="0" fontId="2" fillId="0" borderId="0" xfId="0" applyFont="1" applyAlignment="1">
      <alignment horizontal="center"/>
    </xf>
    <xf numFmtId="172" fontId="5" fillId="0" borderId="43" xfId="0" applyNumberFormat="1" applyFont="1" applyFill="1" applyBorder="1" applyAlignment="1">
      <alignment horizontal="left"/>
    </xf>
    <xf numFmtId="172" fontId="5" fillId="0" borderId="76" xfId="0" applyNumberFormat="1" applyFont="1" applyFill="1" applyBorder="1" applyAlignment="1">
      <alignment horizontal="left"/>
    </xf>
    <xf numFmtId="172" fontId="5" fillId="0" borderId="77" xfId="0" applyNumberFormat="1" applyFont="1" applyFill="1" applyBorder="1" applyAlignment="1">
      <alignment horizontal="left"/>
    </xf>
    <xf numFmtId="166" fontId="5" fillId="0" borderId="1" xfId="0" applyNumberFormat="1" applyFont="1" applyFill="1" applyBorder="1" applyAlignment="1">
      <alignment horizontal="center"/>
    </xf>
    <xf numFmtId="0" fontId="2" fillId="0" borderId="0" xfId="0" applyFont="1" applyBorder="1" applyAlignment="1">
      <alignment horizontal="center"/>
    </xf>
    <xf numFmtId="0" fontId="3" fillId="0" borderId="0" xfId="0" applyFont="1" applyBorder="1" applyAlignment="1">
      <alignment horizontal="center"/>
    </xf>
    <xf numFmtId="37" fontId="5" fillId="0" borderId="0" xfId="0" applyNumberFormat="1" applyFont="1" applyFill="1" applyBorder="1"/>
    <xf numFmtId="37" fontId="5" fillId="0" borderId="43" xfId="0" applyNumberFormat="1" applyFont="1" applyFill="1" applyBorder="1" applyAlignment="1">
      <alignment shrinkToFit="1"/>
    </xf>
    <xf numFmtId="37" fontId="5" fillId="0" borderId="76" xfId="0" applyNumberFormat="1" applyFont="1" applyFill="1" applyBorder="1" applyAlignment="1">
      <alignment shrinkToFit="1"/>
    </xf>
    <xf numFmtId="37" fontId="5" fillId="0" borderId="77" xfId="0" applyNumberFormat="1" applyFont="1" applyFill="1" applyBorder="1" applyAlignment="1">
      <alignment shrinkToFit="1"/>
    </xf>
    <xf numFmtId="0" fontId="13" fillId="0" borderId="69" xfId="0" applyFont="1" applyFill="1" applyBorder="1" applyAlignment="1">
      <alignment horizontal="right"/>
    </xf>
    <xf numFmtId="0" fontId="2" fillId="0" borderId="0" xfId="0" applyFont="1" applyBorder="1" applyAlignment="1">
      <alignment horizontal="center" shrinkToFit="1"/>
    </xf>
    <xf numFmtId="37" fontId="5" fillId="0" borderId="43" xfId="0" applyNumberFormat="1" applyFont="1" applyFill="1" applyBorder="1" applyProtection="1"/>
    <xf numFmtId="37" fontId="5" fillId="0" borderId="77" xfId="0" applyNumberFormat="1" applyFont="1" applyFill="1" applyBorder="1" applyProtection="1"/>
    <xf numFmtId="37" fontId="5" fillId="0" borderId="43" xfId="0" applyNumberFormat="1" applyFont="1" applyFill="1" applyBorder="1" applyAlignment="1" applyProtection="1">
      <alignment shrinkToFit="1"/>
    </xf>
    <xf numFmtId="37" fontId="5" fillId="0" borderId="77" xfId="0" applyNumberFormat="1" applyFont="1" applyFill="1" applyBorder="1" applyAlignment="1" applyProtection="1">
      <alignment shrinkToFit="1"/>
    </xf>
    <xf numFmtId="165" fontId="5" fillId="0" borderId="43" xfId="0" quotePrefix="1" applyNumberFormat="1" applyFont="1" applyFill="1" applyBorder="1" applyAlignment="1">
      <alignment horizontal="center"/>
    </xf>
    <xf numFmtId="165" fontId="5" fillId="0" borderId="77" xfId="0" quotePrefix="1" applyNumberFormat="1" applyFont="1" applyFill="1" applyBorder="1" applyAlignment="1">
      <alignment horizontal="center"/>
    </xf>
    <xf numFmtId="0" fontId="0" fillId="0" borderId="0" xfId="0" applyBorder="1" applyAlignment="1">
      <alignment horizontal="center"/>
    </xf>
    <xf numFmtId="0" fontId="69" fillId="0" borderId="0" xfId="0" applyFont="1" applyAlignment="1">
      <alignment vertical="top" wrapText="1"/>
    </xf>
    <xf numFmtId="0" fontId="2" fillId="0" borderId="18" xfId="0" applyFont="1" applyBorder="1" applyAlignment="1">
      <alignment shrinkToFit="1"/>
    </xf>
    <xf numFmtId="0" fontId="37" fillId="0" borderId="0" xfId="0" applyFont="1" applyAlignment="1">
      <alignment horizontal="justify" vertical="top" wrapText="1"/>
    </xf>
    <xf numFmtId="0" fontId="2" fillId="0" borderId="18" xfId="0" applyFont="1" applyBorder="1"/>
    <xf numFmtId="3" fontId="5" fillId="0" borderId="50" xfId="0" applyNumberFormat="1" applyFont="1" applyBorder="1" applyAlignment="1"/>
    <xf numFmtId="3" fontId="5" fillId="0" borderId="71" xfId="0" applyNumberFormat="1" applyFont="1" applyBorder="1" applyAlignment="1"/>
    <xf numFmtId="3" fontId="5" fillId="0" borderId="8" xfId="0" applyNumberFormat="1" applyFont="1" applyBorder="1" applyAlignment="1"/>
    <xf numFmtId="3" fontId="5" fillId="0" borderId="13" xfId="0" applyNumberFormat="1" applyFont="1" applyBorder="1" applyAlignment="1"/>
    <xf numFmtId="0" fontId="10" fillId="0" borderId="18" xfId="0" applyFont="1" applyBorder="1" applyAlignment="1">
      <alignment vertical="center"/>
    </xf>
    <xf numFmtId="0" fontId="1" fillId="0" borderId="7" xfId="0" applyFont="1" applyBorder="1" applyAlignment="1">
      <alignment vertical="center" shrinkToFit="1"/>
    </xf>
    <xf numFmtId="170" fontId="2" fillId="0" borderId="7" xfId="0" applyNumberFormat="1" applyFont="1" applyBorder="1" applyAlignment="1">
      <alignment horizontal="center"/>
    </xf>
    <xf numFmtId="0" fontId="2" fillId="0" borderId="0" xfId="0" applyFont="1" applyAlignment="1">
      <alignment vertical="top" wrapText="1"/>
    </xf>
    <xf numFmtId="0" fontId="2" fillId="0" borderId="69" xfId="0" applyFont="1" applyBorder="1" applyAlignment="1">
      <alignment vertical="top" wrapText="1"/>
    </xf>
    <xf numFmtId="170" fontId="1" fillId="0" borderId="7" xfId="0" applyNumberFormat="1" applyFont="1" applyBorder="1" applyAlignment="1">
      <alignment shrinkToFit="1"/>
    </xf>
    <xf numFmtId="37" fontId="5" fillId="0" borderId="78" xfId="0" applyNumberFormat="1" applyFont="1" applyFill="1" applyBorder="1"/>
    <xf numFmtId="37" fontId="5" fillId="0" borderId="79" xfId="0" applyNumberFormat="1" applyFont="1" applyFill="1" applyBorder="1"/>
    <xf numFmtId="37" fontId="5" fillId="0" borderId="80" xfId="0" applyNumberFormat="1" applyFont="1" applyFill="1" applyBorder="1"/>
    <xf numFmtId="166" fontId="3" fillId="0" borderId="15" xfId="0" applyNumberFormat="1" applyFont="1" applyBorder="1" applyAlignment="1">
      <alignment shrinkToFit="1"/>
    </xf>
    <xf numFmtId="166" fontId="3" fillId="0" borderId="18" xfId="0" applyNumberFormat="1" applyFont="1" applyBorder="1" applyAlignment="1">
      <alignment shrinkToFit="1"/>
    </xf>
    <xf numFmtId="166" fontId="3" fillId="0" borderId="16" xfId="0" applyNumberFormat="1" applyFont="1" applyBorder="1" applyAlignment="1">
      <alignment shrinkToFit="1"/>
    </xf>
    <xf numFmtId="0" fontId="2" fillId="0" borderId="0" xfId="0" applyFont="1" applyAlignment="1">
      <alignment horizontal="justify" vertical="top" wrapText="1"/>
    </xf>
    <xf numFmtId="37" fontId="5" fillId="0" borderId="76" xfId="0" applyNumberFormat="1" applyFont="1" applyFill="1" applyBorder="1" applyProtection="1"/>
    <xf numFmtId="0" fontId="2" fillId="0" borderId="0" xfId="0" applyFont="1" applyFill="1" applyProtection="1"/>
    <xf numFmtId="0" fontId="10" fillId="0" borderId="0" xfId="0" applyFont="1" applyAlignment="1">
      <alignment horizontal="justify" wrapText="1"/>
    </xf>
    <xf numFmtId="0" fontId="2" fillId="0" borderId="0" xfId="0" applyFont="1" applyAlignment="1">
      <alignment horizontal="left" vertical="top" wrapText="1"/>
    </xf>
    <xf numFmtId="0" fontId="2" fillId="0" borderId="69" xfId="0" applyFont="1" applyBorder="1" applyAlignment="1">
      <alignment horizontal="left" vertical="top" wrapText="1"/>
    </xf>
    <xf numFmtId="0" fontId="6" fillId="0" borderId="0" xfId="0" applyFont="1" applyAlignment="1">
      <alignment horizontal="center"/>
    </xf>
    <xf numFmtId="0" fontId="2" fillId="0" borderId="69" xfId="0" applyFont="1" applyBorder="1" applyAlignment="1">
      <alignment vertical="center" wrapText="1"/>
    </xf>
    <xf numFmtId="0" fontId="2" fillId="0" borderId="0" xfId="0" applyFont="1" applyFill="1" applyAlignment="1" applyProtection="1">
      <alignment vertical="center"/>
    </xf>
    <xf numFmtId="0" fontId="0" fillId="0" borderId="0" xfId="0" applyAlignment="1">
      <alignment horizontal="center"/>
    </xf>
    <xf numFmtId="0" fontId="3" fillId="0" borderId="0" xfId="0" applyFont="1" applyAlignment="1">
      <alignment shrinkToFit="1"/>
    </xf>
    <xf numFmtId="0" fontId="5" fillId="0" borderId="19" xfId="0" applyFont="1" applyBorder="1"/>
    <xf numFmtId="0" fontId="5" fillId="0" borderId="23" xfId="0" applyFont="1" applyBorder="1"/>
    <xf numFmtId="0" fontId="2" fillId="0" borderId="8" xfId="0" applyFont="1" applyBorder="1"/>
    <xf numFmtId="0" fontId="9" fillId="0" borderId="8" xfId="0" applyFont="1" applyBorder="1"/>
    <xf numFmtId="0" fontId="63" fillId="0" borderId="5" xfId="0" applyFont="1" applyFill="1" applyBorder="1" applyAlignment="1">
      <alignment shrinkToFit="1"/>
    </xf>
    <xf numFmtId="0" fontId="3" fillId="0" borderId="8" xfId="0" applyFont="1" applyBorder="1" applyAlignment="1">
      <alignment horizontal="center"/>
    </xf>
    <xf numFmtId="3" fontId="5" fillId="0" borderId="50" xfId="0" applyNumberFormat="1" applyFont="1" applyFill="1" applyBorder="1" applyAlignment="1"/>
    <xf numFmtId="3" fontId="5" fillId="0" borderId="71" xfId="0" applyNumberFormat="1" applyFont="1" applyFill="1" applyBorder="1" applyAlignment="1"/>
    <xf numFmtId="0" fontId="4" fillId="0" borderId="19" xfId="0" applyFont="1" applyBorder="1"/>
    <xf numFmtId="0" fontId="9" fillId="0" borderId="13" xfId="0" applyFont="1" applyBorder="1" applyAlignment="1">
      <alignment wrapText="1"/>
    </xf>
    <xf numFmtId="0" fontId="9" fillId="0" borderId="12" xfId="0" applyFont="1" applyBorder="1" applyAlignment="1">
      <alignment wrapText="1"/>
    </xf>
    <xf numFmtId="0" fontId="9" fillId="0" borderId="14" xfId="0" applyFont="1" applyBorder="1" applyAlignment="1">
      <alignment wrapText="1"/>
    </xf>
    <xf numFmtId="166" fontId="4" fillId="0" borderId="19" xfId="0" applyNumberFormat="1" applyFont="1" applyBorder="1" applyAlignment="1">
      <alignment horizontal="center" shrinkToFit="1"/>
    </xf>
    <xf numFmtId="0" fontId="9" fillId="0" borderId="0" xfId="0" applyNumberFormat="1" applyFont="1" applyBorder="1" applyAlignment="1">
      <alignment vertical="center" wrapText="1"/>
    </xf>
    <xf numFmtId="0" fontId="9" fillId="0" borderId="7" xfId="0" applyNumberFormat="1" applyFont="1" applyBorder="1" applyAlignment="1">
      <alignment vertical="center" wrapText="1"/>
    </xf>
    <xf numFmtId="38" fontId="9" fillId="0" borderId="13" xfId="0" applyNumberFormat="1" applyFont="1" applyFill="1" applyBorder="1" applyAlignment="1">
      <alignment shrinkToFit="1"/>
    </xf>
    <xf numFmtId="38" fontId="9" fillId="0" borderId="12" xfId="0" applyNumberFormat="1" applyFont="1" applyFill="1" applyBorder="1" applyAlignment="1">
      <alignment shrinkToFit="1"/>
    </xf>
    <xf numFmtId="3" fontId="2" fillId="0" borderId="8" xfId="0" applyNumberFormat="1" applyFont="1" applyBorder="1" applyAlignment="1">
      <alignment shrinkToFit="1"/>
    </xf>
    <xf numFmtId="0" fontId="2" fillId="0" borderId="0" xfId="0" applyFont="1" applyAlignment="1">
      <alignment shrinkToFit="1"/>
    </xf>
    <xf numFmtId="166" fontId="2" fillId="0" borderId="0" xfId="0" applyNumberFormat="1" applyFont="1" applyAlignment="1">
      <alignment shrinkToFit="1"/>
    </xf>
    <xf numFmtId="0" fontId="9" fillId="0" borderId="7" xfId="0" applyFont="1" applyBorder="1" applyAlignment="1"/>
    <xf numFmtId="0" fontId="0" fillId="0" borderId="7" xfId="0" applyBorder="1" applyAlignment="1"/>
    <xf numFmtId="0" fontId="2" fillId="0" borderId="0" xfId="0" applyFont="1" applyBorder="1" applyAlignment="1">
      <alignment readingOrder="1"/>
    </xf>
    <xf numFmtId="0" fontId="0" fillId="0" borderId="0" xfId="0" applyAlignment="1">
      <alignment readingOrder="1"/>
    </xf>
    <xf numFmtId="166" fontId="9" fillId="0" borderId="7" xfId="0" applyNumberFormat="1" applyFont="1" applyBorder="1" applyAlignment="1">
      <alignment horizontal="center"/>
    </xf>
    <xf numFmtId="0" fontId="0" fillId="0" borderId="7" xfId="0" applyBorder="1" applyAlignment="1">
      <alignment horizontal="center"/>
    </xf>
    <xf numFmtId="0" fontId="2" fillId="0" borderId="18" xfId="0" applyFont="1" applyBorder="1" applyAlignment="1">
      <alignment vertical="top" wrapText="1"/>
    </xf>
    <xf numFmtId="0" fontId="0" fillId="0" borderId="18" xfId="0" applyBorder="1" applyAlignment="1">
      <alignment vertical="top" wrapText="1"/>
    </xf>
    <xf numFmtId="0" fontId="2" fillId="0" borderId="0" xfId="0" applyFont="1"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xf>
    <xf numFmtId="166" fontId="3" fillId="0" borderId="0" xfId="0" applyNumberFormat="1" applyFont="1" applyBorder="1" applyAlignment="1">
      <alignment shrinkToFit="1"/>
    </xf>
    <xf numFmtId="0" fontId="9" fillId="0" borderId="5" xfId="0" applyFont="1" applyBorder="1"/>
    <xf numFmtId="0" fontId="9" fillId="0" borderId="39" xfId="0" applyFont="1" applyBorder="1" applyAlignment="1">
      <alignment horizontal="center"/>
    </xf>
    <xf numFmtId="0" fontId="9" fillId="0" borderId="7" xfId="0" applyFont="1" applyBorder="1" applyAlignment="1">
      <alignment horizontal="center"/>
    </xf>
    <xf numFmtId="0" fontId="9" fillId="0" borderId="3" xfId="0" applyFont="1" applyBorder="1" applyAlignment="1">
      <alignment horizontal="center"/>
    </xf>
    <xf numFmtId="0" fontId="9" fillId="0" borderId="5" xfId="0" applyFont="1" applyBorder="1" applyAlignment="1">
      <alignment horizontal="center" wrapText="1"/>
    </xf>
    <xf numFmtId="0" fontId="9" fillId="0" borderId="5" xfId="0" applyFont="1" applyBorder="1" applyAlignment="1">
      <alignment horizontal="center"/>
    </xf>
    <xf numFmtId="3" fontId="5" fillId="0" borderId="5" xfId="0" applyNumberFormat="1" applyFont="1" applyBorder="1" applyAlignment="1"/>
    <xf numFmtId="3" fontId="5" fillId="0" borderId="39" xfId="0" applyNumberFormat="1" applyFont="1" applyBorder="1" applyAlignment="1"/>
    <xf numFmtId="3" fontId="5" fillId="0" borderId="8" xfId="0" applyNumberFormat="1" applyFont="1" applyFill="1" applyBorder="1" applyAlignment="1"/>
    <xf numFmtId="3" fontId="5" fillId="0" borderId="13" xfId="0" applyNumberFormat="1" applyFont="1" applyFill="1" applyBorder="1" applyAlignment="1"/>
    <xf numFmtId="166" fontId="15" fillId="0" borderId="39" xfId="0" applyNumberFormat="1" applyFont="1" applyBorder="1" applyAlignment="1">
      <alignment horizontal="center" shrinkToFit="1"/>
    </xf>
    <xf numFmtId="166" fontId="15" fillId="0" borderId="7" xfId="0" applyNumberFormat="1" applyFont="1" applyBorder="1" applyAlignment="1">
      <alignment horizontal="center" shrinkToFit="1"/>
    </xf>
    <xf numFmtId="0" fontId="6" fillId="0" borderId="18" xfId="0" applyFont="1" applyBorder="1" applyAlignment="1">
      <alignment horizontal="center" vertical="center" shrinkToFit="1"/>
    </xf>
    <xf numFmtId="0" fontId="6" fillId="0" borderId="4" xfId="0" applyFont="1" applyBorder="1" applyAlignment="1">
      <alignment horizontal="center" shrinkToFit="1"/>
    </xf>
    <xf numFmtId="38" fontId="78" fillId="0" borderId="13" xfId="0" applyNumberFormat="1" applyFont="1" applyFill="1" applyBorder="1" applyAlignment="1" applyProtection="1">
      <alignment shrinkToFit="1"/>
    </xf>
    <xf numFmtId="38" fontId="78" fillId="0" borderId="14" xfId="0" applyNumberFormat="1" applyFont="1" applyFill="1" applyBorder="1" applyAlignment="1" applyProtection="1">
      <alignment shrinkToFit="1"/>
    </xf>
    <xf numFmtId="0" fontId="6" fillId="0" borderId="39" xfId="0" applyFont="1" applyBorder="1" applyAlignment="1">
      <alignment horizontal="center" vertical="center" shrinkToFit="1"/>
    </xf>
    <xf numFmtId="0" fontId="6" fillId="0" borderId="7" xfId="0" applyFont="1" applyBorder="1" applyAlignment="1">
      <alignment horizontal="center" vertical="center" shrinkToFit="1"/>
    </xf>
    <xf numFmtId="0" fontId="6" fillId="0" borderId="3" xfId="0" applyFont="1" applyBorder="1" applyAlignment="1">
      <alignment horizontal="center" vertical="center" shrinkToFit="1"/>
    </xf>
    <xf numFmtId="0" fontId="0" fillId="0" borderId="13" xfId="0" quotePrefix="1" applyBorder="1"/>
    <xf numFmtId="0" fontId="0" fillId="0" borderId="12" xfId="0" quotePrefix="1" applyBorder="1"/>
    <xf numFmtId="0" fontId="0" fillId="0" borderId="14" xfId="0" quotePrefix="1" applyBorder="1"/>
    <xf numFmtId="0" fontId="6" fillId="0" borderId="13" xfId="0" quotePrefix="1" applyFont="1" applyBorder="1"/>
    <xf numFmtId="0" fontId="6" fillId="0" borderId="12" xfId="0" quotePrefix="1" applyFont="1" applyBorder="1"/>
    <xf numFmtId="0" fontId="6" fillId="0" borderId="14" xfId="0" quotePrefix="1" applyFont="1" applyBorder="1"/>
    <xf numFmtId="0" fontId="6" fillId="0" borderId="13" xfId="0" quotePrefix="1" applyFont="1" applyBorder="1" applyAlignment="1">
      <alignment shrinkToFit="1"/>
    </xf>
    <xf numFmtId="0" fontId="6" fillId="0" borderId="12" xfId="0" quotePrefix="1" applyFont="1" applyBorder="1" applyAlignment="1">
      <alignment shrinkToFit="1"/>
    </xf>
    <xf numFmtId="0" fontId="0" fillId="0" borderId="12" xfId="0" applyBorder="1" applyAlignment="1">
      <alignment shrinkToFit="1"/>
    </xf>
    <xf numFmtId="0" fontId="6" fillId="0" borderId="13" xfId="0" quotePrefix="1" applyFont="1" applyBorder="1" applyAlignment="1"/>
    <xf numFmtId="0" fontId="6" fillId="0" borderId="12" xfId="0" quotePrefix="1" applyFont="1" applyBorder="1" applyAlignment="1"/>
    <xf numFmtId="0" fontId="0" fillId="0" borderId="12" xfId="0" applyBorder="1" applyAlignment="1"/>
    <xf numFmtId="0" fontId="0" fillId="0" borderId="14" xfId="0" applyBorder="1" applyAlignment="1"/>
    <xf numFmtId="0" fontId="9" fillId="0" borderId="0" xfId="0" applyFont="1" applyBorder="1" applyAlignment="1">
      <alignment horizontal="center" vertical="center" wrapText="1"/>
    </xf>
    <xf numFmtId="0" fontId="1" fillId="0" borderId="0" xfId="0" applyFont="1" applyBorder="1" applyAlignment="1">
      <alignment horizontal="center" vertical="center" wrapText="1"/>
    </xf>
    <xf numFmtId="0" fontId="29" fillId="0" borderId="0" xfId="0" applyFont="1" applyBorder="1" applyAlignment="1">
      <alignment horizontal="center" vertical="center"/>
    </xf>
    <xf numFmtId="0" fontId="29" fillId="0" borderId="7" xfId="0" applyFont="1" applyBorder="1" applyAlignment="1">
      <alignment horizontal="center" vertical="center"/>
    </xf>
    <xf numFmtId="0" fontId="32" fillId="0" borderId="0" xfId="0" applyFont="1" applyBorder="1" applyAlignment="1">
      <alignment horizontal="center" wrapText="1" shrinkToFit="1"/>
    </xf>
    <xf numFmtId="0" fontId="15" fillId="0" borderId="7" xfId="0" applyFont="1" applyBorder="1" applyAlignment="1">
      <alignment shrinkToFit="1"/>
    </xf>
    <xf numFmtId="0" fontId="15" fillId="0" borderId="3" xfId="0" applyFont="1" applyBorder="1" applyAlignment="1">
      <alignment shrinkToFit="1"/>
    </xf>
    <xf numFmtId="0" fontId="30" fillId="5" borderId="12" xfId="0" applyFont="1" applyFill="1" applyBorder="1"/>
    <xf numFmtId="0" fontId="28" fillId="0" borderId="6" xfId="0" applyFont="1" applyBorder="1" applyAlignment="1">
      <alignment horizontal="right" vertical="center"/>
    </xf>
    <xf numFmtId="0" fontId="0" fillId="0" borderId="0" xfId="0" applyAlignment="1">
      <alignment horizontal="right" vertical="center"/>
    </xf>
    <xf numFmtId="0" fontId="2" fillId="0" borderId="39" xfId="0" applyFont="1" applyBorder="1" applyAlignment="1">
      <alignment horizontal="right" vertical="center"/>
    </xf>
    <xf numFmtId="0" fontId="2" fillId="0" borderId="7" xfId="0" applyFont="1" applyBorder="1" applyAlignment="1">
      <alignment horizontal="right" vertical="center"/>
    </xf>
    <xf numFmtId="0" fontId="2" fillId="0" borderId="13" xfId="0" applyFont="1" applyBorder="1" applyAlignment="1"/>
    <xf numFmtId="0" fontId="2" fillId="0" borderId="12" xfId="0" quotePrefix="1" applyFont="1" applyBorder="1" applyAlignment="1"/>
    <xf numFmtId="0" fontId="2" fillId="0" borderId="14" xfId="0" quotePrefix="1" applyFont="1" applyBorder="1" applyAlignment="1"/>
    <xf numFmtId="0" fontId="2" fillId="0" borderId="13" xfId="0" quotePrefix="1" applyFont="1" applyBorder="1" applyAlignment="1"/>
    <xf numFmtId="37" fontId="21" fillId="0" borderId="13" xfId="0" applyNumberFormat="1" applyFont="1" applyBorder="1"/>
    <xf numFmtId="37" fontId="21" fillId="0" borderId="14" xfId="0" applyNumberFormat="1" applyFont="1" applyBorder="1"/>
    <xf numFmtId="37" fontId="21" fillId="0" borderId="37" xfId="0" applyNumberFormat="1" applyFont="1" applyBorder="1"/>
    <xf numFmtId="37" fontId="21" fillId="0" borderId="59" xfId="0" applyNumberFormat="1" applyFont="1" applyBorder="1"/>
    <xf numFmtId="37" fontId="21" fillId="0" borderId="39" xfId="0" applyNumberFormat="1" applyFont="1" applyBorder="1"/>
    <xf numFmtId="37" fontId="21" fillId="0" borderId="3" xfId="0" applyNumberFormat="1" applyFont="1" applyBorder="1"/>
    <xf numFmtId="0" fontId="6" fillId="0" borderId="13" xfId="0" applyNumberFormat="1" applyFont="1" applyBorder="1" applyAlignment="1">
      <alignment horizontal="center" shrinkToFit="1"/>
    </xf>
    <xf numFmtId="0" fontId="6" fillId="0" borderId="14" xfId="0" applyNumberFormat="1" applyFont="1" applyBorder="1" applyAlignment="1">
      <alignment horizontal="center" shrinkToFit="1"/>
    </xf>
    <xf numFmtId="38" fontId="0" fillId="0" borderId="8" xfId="0" applyNumberFormat="1" applyBorder="1"/>
    <xf numFmtId="38" fontId="78" fillId="0" borderId="8" xfId="0" applyNumberFormat="1" applyFont="1" applyBorder="1"/>
    <xf numFmtId="0" fontId="78" fillId="0" borderId="8" xfId="0" applyFont="1" applyBorder="1"/>
    <xf numFmtId="0" fontId="31" fillId="0" borderId="0" xfId="0" applyFont="1" applyAlignment="1">
      <alignment horizontal="center" wrapText="1"/>
    </xf>
    <xf numFmtId="37" fontId="21" fillId="0" borderId="39" xfId="0" applyNumberFormat="1" applyFont="1" applyFill="1" applyBorder="1"/>
    <xf numFmtId="37" fontId="21" fillId="0" borderId="3" xfId="0" applyNumberFormat="1" applyFont="1" applyFill="1" applyBorder="1"/>
    <xf numFmtId="37" fontId="21" fillId="0" borderId="71" xfId="0" applyNumberFormat="1" applyFont="1" applyFill="1" applyBorder="1"/>
    <xf numFmtId="37" fontId="21" fillId="0" borderId="81" xfId="0" applyNumberFormat="1" applyFont="1" applyFill="1" applyBorder="1"/>
    <xf numFmtId="37" fontId="21" fillId="0" borderId="5" xfId="0" applyNumberFormat="1" applyFont="1" applyBorder="1"/>
    <xf numFmtId="0" fontId="18" fillId="5" borderId="0" xfId="0" applyFont="1" applyFill="1"/>
    <xf numFmtId="0" fontId="31" fillId="0" borderId="0" xfId="0" applyFont="1" applyAlignment="1">
      <alignment horizontal="center"/>
    </xf>
    <xf numFmtId="37" fontId="21" fillId="0" borderId="8" xfId="0" applyNumberFormat="1" applyFont="1" applyBorder="1"/>
    <xf numFmtId="0" fontId="3" fillId="0" borderId="8" xfId="0" applyFont="1" applyBorder="1" applyAlignment="1">
      <alignment horizontal="center" wrapText="1"/>
    </xf>
    <xf numFmtId="0" fontId="2" fillId="0" borderId="8" xfId="0" applyFont="1" applyBorder="1" applyAlignment="1">
      <alignment horizontal="center" wrapText="1"/>
    </xf>
    <xf numFmtId="37" fontId="21" fillId="0" borderId="12" xfId="0" applyNumberFormat="1" applyFont="1" applyFill="1" applyBorder="1"/>
    <xf numFmtId="0" fontId="21" fillId="0" borderId="14" xfId="0" applyFont="1" applyFill="1" applyBorder="1"/>
    <xf numFmtId="0" fontId="6" fillId="0" borderId="8" xfId="0" applyFont="1" applyBorder="1" applyAlignment="1">
      <alignment horizontal="center" wrapText="1"/>
    </xf>
    <xf numFmtId="0" fontId="58" fillId="0" borderId="8" xfId="0" applyFont="1" applyBorder="1"/>
    <xf numFmtId="0" fontId="6" fillId="0" borderId="14" xfId="0" applyFont="1" applyBorder="1"/>
    <xf numFmtId="0" fontId="6" fillId="0" borderId="8" xfId="0" applyFont="1" applyBorder="1"/>
    <xf numFmtId="0" fontId="1" fillId="0" borderId="14" xfId="0" applyFont="1" applyFill="1" applyBorder="1" applyAlignment="1">
      <alignment shrinkToFit="1"/>
    </xf>
    <xf numFmtId="0" fontId="1" fillId="0" borderId="8" xfId="0" applyFont="1" applyFill="1" applyBorder="1" applyAlignment="1">
      <alignment shrinkToFit="1"/>
    </xf>
    <xf numFmtId="171" fontId="1" fillId="0" borderId="8" xfId="0" applyNumberFormat="1" applyFont="1" applyFill="1" applyBorder="1" applyAlignment="1">
      <alignment horizontal="center"/>
    </xf>
    <xf numFmtId="0" fontId="2" fillId="0" borderId="12" xfId="0" applyFont="1" applyFill="1" applyBorder="1" applyAlignment="1">
      <alignment shrinkToFit="1"/>
    </xf>
    <xf numFmtId="0" fontId="2" fillId="0" borderId="14" xfId="0" applyFont="1" applyFill="1" applyBorder="1" applyAlignment="1">
      <alignment shrinkToFit="1"/>
    </xf>
    <xf numFmtId="37" fontId="1" fillId="0" borderId="8" xfId="0" applyNumberFormat="1" applyFont="1" applyFill="1" applyBorder="1" applyAlignment="1"/>
    <xf numFmtId="0" fontId="24" fillId="0" borderId="18" xfId="0" applyFont="1" applyBorder="1" applyAlignment="1">
      <alignment horizontal="center"/>
    </xf>
    <xf numFmtId="0" fontId="28" fillId="0" borderId="15" xfId="0" applyFont="1" applyBorder="1" applyAlignment="1">
      <alignment horizontal="right" vertical="center"/>
    </xf>
    <xf numFmtId="0" fontId="0" fillId="0" borderId="18" xfId="0" applyBorder="1" applyAlignment="1">
      <alignment horizontal="right" vertical="center"/>
    </xf>
    <xf numFmtId="0" fontId="21" fillId="0" borderId="8" xfId="0" applyFont="1" applyBorder="1"/>
    <xf numFmtId="37" fontId="21" fillId="0" borderId="8" xfId="0" applyNumberFormat="1" applyFont="1" applyFill="1" applyBorder="1"/>
    <xf numFmtId="0" fontId="21" fillId="0" borderId="8" xfId="0" applyFont="1" applyFill="1" applyBorder="1"/>
    <xf numFmtId="0" fontId="6" fillId="0" borderId="0" xfId="0" applyFont="1" applyBorder="1" applyAlignment="1">
      <alignment shrinkToFit="1"/>
    </xf>
    <xf numFmtId="0" fontId="0" fillId="0" borderId="0" xfId="0" applyAlignment="1">
      <alignment shrinkToFit="1"/>
    </xf>
    <xf numFmtId="0" fontId="3" fillId="0" borderId="15" xfId="0" applyFont="1" applyBorder="1" applyAlignment="1">
      <alignment horizontal="center" vertical="center" shrinkToFit="1"/>
    </xf>
    <xf numFmtId="0" fontId="3" fillId="0" borderId="16" xfId="0" applyFont="1" applyBorder="1" applyAlignment="1">
      <alignment horizontal="center" vertical="center" shrinkToFit="1"/>
    </xf>
    <xf numFmtId="0" fontId="2" fillId="0" borderId="8" xfId="0" applyFont="1" applyBorder="1" applyAlignment="1">
      <alignment horizontal="right"/>
    </xf>
    <xf numFmtId="0" fontId="3" fillId="0" borderId="39" xfId="0" applyFont="1" applyBorder="1" applyAlignment="1">
      <alignment vertical="center" shrinkToFit="1"/>
    </xf>
    <xf numFmtId="0" fontId="3" fillId="0" borderId="3" xfId="0" applyFont="1" applyBorder="1" applyAlignment="1">
      <alignment vertical="center" shrinkToFit="1"/>
    </xf>
    <xf numFmtId="0" fontId="0" fillId="0" borderId="0" xfId="0" quotePrefix="1" applyAlignment="1">
      <alignment wrapText="1"/>
    </xf>
    <xf numFmtId="0" fontId="0" fillId="0" borderId="0" xfId="0" applyAlignment="1">
      <alignment wrapText="1"/>
    </xf>
    <xf numFmtId="0" fontId="0" fillId="0" borderId="19" xfId="0" applyBorder="1" applyAlignment="1">
      <alignment wrapText="1"/>
    </xf>
    <xf numFmtId="0" fontId="2" fillId="0" borderId="8" xfId="0" quotePrefix="1" applyFont="1" applyBorder="1"/>
    <xf numFmtId="0" fontId="0" fillId="0" borderId="12" xfId="0" applyBorder="1"/>
    <xf numFmtId="0" fontId="0" fillId="0" borderId="14" xfId="0" applyBorder="1"/>
    <xf numFmtId="0" fontId="0" fillId="0" borderId="13" xfId="0" applyBorder="1"/>
    <xf numFmtId="0" fontId="0" fillId="8" borderId="13" xfId="0" applyFill="1" applyBorder="1"/>
    <xf numFmtId="0" fontId="0" fillId="8" borderId="14" xfId="0" applyFill="1" applyBorder="1"/>
    <xf numFmtId="0" fontId="10" fillId="9" borderId="8" xfId="0" applyFont="1" applyFill="1" applyBorder="1" applyAlignment="1">
      <alignment vertical="center" wrapText="1"/>
    </xf>
    <xf numFmtId="0" fontId="3" fillId="8" borderId="8" xfId="0" applyFont="1" applyFill="1" applyBorder="1" applyAlignment="1">
      <alignment horizontal="justify" vertical="center" wrapText="1"/>
    </xf>
    <xf numFmtId="0" fontId="9" fillId="8" borderId="8" xfId="0" applyFont="1" applyFill="1" applyBorder="1" applyAlignment="1">
      <alignment horizontal="justify" vertical="center" wrapText="1"/>
    </xf>
    <xf numFmtId="0" fontId="6" fillId="0" borderId="15" xfId="0" applyFont="1" applyBorder="1" applyAlignment="1">
      <alignment vertical="center" shrinkToFit="1"/>
    </xf>
    <xf numFmtId="0" fontId="6" fillId="0" borderId="16" xfId="0" applyFont="1" applyBorder="1" applyAlignment="1">
      <alignment vertical="center" shrinkToFit="1"/>
    </xf>
    <xf numFmtId="0" fontId="0" fillId="0" borderId="10" xfId="0" applyBorder="1" applyAlignment="1">
      <alignment wrapText="1"/>
    </xf>
    <xf numFmtId="0" fontId="21" fillId="0" borderId="39" xfId="0" applyFont="1" applyBorder="1" applyAlignment="1">
      <alignment horizontal="center" vertical="center" wrapText="1"/>
    </xf>
    <xf numFmtId="0" fontId="21" fillId="0" borderId="7" xfId="0" applyFont="1" applyBorder="1" applyAlignment="1">
      <alignment horizontal="center" vertical="center" wrapText="1"/>
    </xf>
    <xf numFmtId="0" fontId="3" fillId="0" borderId="57" xfId="0" applyFont="1" applyBorder="1" applyAlignment="1">
      <alignment horizontal="center"/>
    </xf>
    <xf numFmtId="0" fontId="3" fillId="0" borderId="20" xfId="0" applyFont="1" applyBorder="1" applyAlignment="1">
      <alignment horizontal="center"/>
    </xf>
    <xf numFmtId="0" fontId="15" fillId="0" borderId="9" xfId="0" applyFont="1" applyBorder="1" applyAlignment="1">
      <alignment horizontal="center"/>
    </xf>
    <xf numFmtId="0" fontId="0" fillId="0" borderId="39" xfId="0" applyBorder="1"/>
    <xf numFmtId="0" fontId="0" fillId="0" borderId="7" xfId="0" applyBorder="1"/>
    <xf numFmtId="0" fontId="21" fillId="0" borderId="13" xfId="0" applyFont="1" applyBorder="1"/>
    <xf numFmtId="0" fontId="21" fillId="0" borderId="12" xfId="0" applyFont="1" applyBorder="1"/>
    <xf numFmtId="0" fontId="21" fillId="0" borderId="13" xfId="0" applyFont="1" applyBorder="1" applyAlignment="1">
      <alignment vertical="center" wrapText="1"/>
    </xf>
    <xf numFmtId="0" fontId="21" fillId="0" borderId="12" xfId="0" applyFont="1" applyBorder="1" applyAlignment="1">
      <alignment vertical="center" wrapText="1"/>
    </xf>
    <xf numFmtId="0" fontId="21" fillId="0" borderId="14" xfId="0" applyFont="1" applyBorder="1" applyAlignment="1">
      <alignment vertical="center" wrapText="1"/>
    </xf>
    <xf numFmtId="0" fontId="6" fillId="0" borderId="13" xfId="0" applyFont="1" applyBorder="1" applyAlignment="1">
      <alignment wrapText="1"/>
    </xf>
    <xf numFmtId="0" fontId="6" fillId="0" borderId="12" xfId="0" applyFont="1" applyBorder="1" applyAlignment="1">
      <alignment wrapText="1"/>
    </xf>
    <xf numFmtId="0" fontId="58" fillId="0" borderId="13" xfId="0" applyFont="1" applyBorder="1"/>
    <xf numFmtId="0" fontId="58" fillId="0" borderId="12" xfId="0" applyFont="1" applyBorder="1"/>
    <xf numFmtId="0" fontId="21" fillId="0" borderId="13" xfId="0" applyFont="1" applyFill="1" applyBorder="1"/>
    <xf numFmtId="0" fontId="21" fillId="0" borderId="12" xfId="0" applyFont="1" applyFill="1" applyBorder="1"/>
    <xf numFmtId="0" fontId="3" fillId="0" borderId="57" xfId="0" applyFont="1" applyFill="1" applyBorder="1" applyAlignment="1" applyProtection="1">
      <alignment horizontal="center"/>
    </xf>
    <xf numFmtId="0" fontId="3" fillId="0" borderId="20" xfId="0" applyFont="1" applyFill="1" applyBorder="1" applyAlignment="1" applyProtection="1">
      <alignment horizontal="center"/>
    </xf>
    <xf numFmtId="0" fontId="13" fillId="0" borderId="13" xfId="0" applyFont="1" applyBorder="1" applyAlignment="1">
      <alignment wrapText="1"/>
    </xf>
    <xf numFmtId="0" fontId="0" fillId="0" borderId="14" xfId="0" applyBorder="1" applyAlignment="1">
      <alignment wrapText="1"/>
    </xf>
    <xf numFmtId="0" fontId="13" fillId="0" borderId="13" xfId="0" applyFont="1" applyBorder="1" applyAlignment="1">
      <alignment horizontal="left" wrapText="1"/>
    </xf>
    <xf numFmtId="0" fontId="0" fillId="0" borderId="14" xfId="0" applyBorder="1" applyAlignment="1">
      <alignment horizontal="left" wrapText="1"/>
    </xf>
    <xf numFmtId="0" fontId="21" fillId="0" borderId="39" xfId="0" applyFont="1" applyFill="1" applyBorder="1" applyAlignment="1" applyProtection="1">
      <alignment horizontal="center" vertical="center" wrapText="1"/>
    </xf>
    <xf numFmtId="0" fontId="21" fillId="0" borderId="7" xfId="0" applyFont="1" applyFill="1" applyBorder="1" applyAlignment="1" applyProtection="1">
      <alignment horizontal="center" vertical="center" wrapText="1"/>
    </xf>
    <xf numFmtId="0" fontId="21" fillId="0" borderId="14" xfId="0" applyFont="1" applyBorder="1"/>
    <xf numFmtId="0" fontId="59" fillId="0" borderId="0" xfId="0" applyFont="1" applyFill="1" applyBorder="1" applyAlignment="1" applyProtection="1">
      <alignment vertical="center" wrapText="1"/>
    </xf>
    <xf numFmtId="0" fontId="21" fillId="0" borderId="17" xfId="0" applyFont="1" applyBorder="1" applyAlignment="1">
      <alignment vertical="center" wrapText="1"/>
    </xf>
    <xf numFmtId="0" fontId="21" fillId="0" borderId="7" xfId="0" applyFont="1" applyBorder="1" applyAlignment="1">
      <alignment vertical="center" wrapText="1"/>
    </xf>
    <xf numFmtId="0" fontId="21" fillId="0" borderId="3" xfId="0" applyFont="1" applyBorder="1" applyAlignment="1">
      <alignment vertical="center" wrapText="1"/>
    </xf>
    <xf numFmtId="0" fontId="25" fillId="0" borderId="6" xfId="0" applyFont="1" applyFill="1" applyBorder="1" applyAlignment="1" applyProtection="1">
      <alignment horizontal="center"/>
    </xf>
    <xf numFmtId="0" fontId="25" fillId="0" borderId="0" xfId="0" applyFont="1" applyFill="1" applyBorder="1" applyAlignment="1" applyProtection="1">
      <alignment horizontal="center"/>
    </xf>
    <xf numFmtId="0" fontId="15" fillId="0" borderId="6" xfId="0" applyFont="1" applyBorder="1" applyAlignment="1">
      <alignment horizontal="center"/>
    </xf>
    <xf numFmtId="0" fontId="15" fillId="0" borderId="0" xfId="0" applyFont="1" applyAlignment="1">
      <alignment horizontal="center"/>
    </xf>
    <xf numFmtId="0" fontId="15" fillId="0" borderId="17" xfId="0" applyFont="1" applyBorder="1" applyAlignment="1">
      <alignment horizontal="center"/>
    </xf>
    <xf numFmtId="0" fontId="0" fillId="0" borderId="37" xfId="0" applyBorder="1" applyAlignment="1">
      <alignment horizontal="center"/>
    </xf>
    <xf numFmtId="0" fontId="0" fillId="0" borderId="19" xfId="0" applyBorder="1" applyAlignment="1">
      <alignment horizontal="center"/>
    </xf>
    <xf numFmtId="0" fontId="0" fillId="0" borderId="59" xfId="0" applyBorder="1" applyAlignment="1">
      <alignment horizontal="center"/>
    </xf>
    <xf numFmtId="0" fontId="15" fillId="0" borderId="19" xfId="0" applyFont="1" applyFill="1" applyBorder="1" applyAlignment="1" applyProtection="1">
      <alignment horizontal="center"/>
    </xf>
    <xf numFmtId="166" fontId="15" fillId="0" borderId="37" xfId="0" applyNumberFormat="1" applyFont="1" applyFill="1" applyBorder="1" applyProtection="1"/>
    <xf numFmtId="166" fontId="15" fillId="0" borderId="19" xfId="0" applyNumberFormat="1" applyFont="1" applyFill="1" applyBorder="1" applyProtection="1"/>
    <xf numFmtId="0" fontId="7" fillId="0" borderId="19" xfId="0" applyFont="1" applyBorder="1" applyAlignment="1">
      <alignment horizontal="center" wrapText="1"/>
    </xf>
    <xf numFmtId="0" fontId="7" fillId="0" borderId="59" xfId="0" applyFont="1" applyBorder="1" applyAlignment="1">
      <alignment horizontal="center" wrapText="1"/>
    </xf>
    <xf numFmtId="0" fontId="7" fillId="0" borderId="37" xfId="0" applyFont="1" applyBorder="1" applyAlignment="1">
      <alignment horizontal="center"/>
    </xf>
    <xf numFmtId="0" fontId="7" fillId="0" borderId="19" xfId="0" applyFont="1" applyBorder="1" applyAlignment="1">
      <alignment horizontal="center"/>
    </xf>
    <xf numFmtId="0" fontId="13" fillId="0" borderId="13" xfId="0" applyFont="1" applyBorder="1" applyAlignment="1"/>
    <xf numFmtId="0" fontId="58" fillId="0" borderId="13" xfId="0" applyFont="1" applyBorder="1" applyAlignment="1">
      <alignment vertical="center" wrapText="1"/>
    </xf>
    <xf numFmtId="0" fontId="58" fillId="0" borderId="12" xfId="0" applyFont="1" applyBorder="1" applyAlignment="1">
      <alignment vertical="center" wrapText="1"/>
    </xf>
    <xf numFmtId="0" fontId="60" fillId="0" borderId="12" xfId="0" applyFont="1" applyBorder="1" applyAlignment="1">
      <alignment horizontal="center" wrapText="1"/>
    </xf>
    <xf numFmtId="0" fontId="6" fillId="0" borderId="14" xfId="0" applyFont="1" applyBorder="1" applyAlignment="1">
      <alignment wrapText="1"/>
    </xf>
    <xf numFmtId="0" fontId="15" fillId="0" borderId="19" xfId="0" applyFont="1" applyFill="1" applyBorder="1" applyProtection="1"/>
    <xf numFmtId="0" fontId="0" fillId="0" borderId="7" xfId="0" applyBorder="1" applyAlignment="1">
      <alignment wrapText="1"/>
    </xf>
    <xf numFmtId="0" fontId="0" fillId="0" borderId="73" xfId="0" applyBorder="1"/>
    <xf numFmtId="0" fontId="0" fillId="0" borderId="70" xfId="0" applyBorder="1"/>
    <xf numFmtId="0" fontId="51" fillId="0" borderId="70" xfId="0" applyFont="1" applyBorder="1" applyAlignment="1">
      <alignment horizontal="center" wrapText="1"/>
    </xf>
    <xf numFmtId="0" fontId="51" fillId="0" borderId="38" xfId="0" applyFont="1" applyBorder="1" applyAlignment="1">
      <alignment horizontal="center" wrapText="1"/>
    </xf>
    <xf numFmtId="0" fontId="6" fillId="0" borderId="13" xfId="0" applyFont="1" applyBorder="1"/>
    <xf numFmtId="0" fontId="6" fillId="0" borderId="12" xfId="0" applyFont="1" applyBorder="1"/>
    <xf numFmtId="0" fontId="51" fillId="0" borderId="12" xfId="0" applyFont="1" applyBorder="1" applyAlignment="1">
      <alignment horizontal="center" wrapText="1"/>
    </xf>
    <xf numFmtId="0" fontId="51" fillId="0" borderId="14" xfId="0" applyFont="1" applyBorder="1" applyAlignment="1">
      <alignment horizontal="center" wrapText="1"/>
    </xf>
    <xf numFmtId="0" fontId="13" fillId="0" borderId="39" xfId="0" applyFont="1" applyBorder="1" applyAlignment="1"/>
    <xf numFmtId="0" fontId="0" fillId="0" borderId="3" xfId="0" applyBorder="1" applyAlignment="1"/>
    <xf numFmtId="0" fontId="0" fillId="0" borderId="3" xfId="0" applyBorder="1"/>
    <xf numFmtId="0" fontId="14" fillId="0" borderId="0" xfId="0" applyFont="1" applyBorder="1" applyAlignment="1">
      <alignment horizontal="center"/>
    </xf>
    <xf numFmtId="0" fontId="0" fillId="0" borderId="79" xfId="0" applyBorder="1" applyAlignment="1">
      <alignment horizontal="center"/>
    </xf>
    <xf numFmtId="0" fontId="14" fillId="0" borderId="0" xfId="0" applyFont="1" applyBorder="1" applyAlignment="1">
      <alignment horizontal="center" wrapText="1"/>
    </xf>
    <xf numFmtId="0" fontId="0" fillId="0" borderId="79" xfId="0" applyBorder="1" applyAlignment="1"/>
    <xf numFmtId="0" fontId="14" fillId="0" borderId="22" xfId="0" applyFont="1" applyBorder="1" applyAlignment="1">
      <alignment horizontal="center"/>
    </xf>
    <xf numFmtId="0" fontId="0" fillId="0" borderId="88" xfId="0" applyBorder="1" applyAlignment="1"/>
    <xf numFmtId="0" fontId="6" fillId="0" borderId="6" xfId="0" applyFont="1" applyBorder="1" applyAlignment="1">
      <alignment wrapText="1"/>
    </xf>
    <xf numFmtId="0" fontId="6" fillId="0" borderId="0" xfId="0" applyFont="1" applyAlignment="1">
      <alignment wrapText="1"/>
    </xf>
    <xf numFmtId="38" fontId="2" fillId="0" borderId="13" xfId="0" applyNumberFormat="1" applyFont="1" applyBorder="1"/>
    <xf numFmtId="38" fontId="2" fillId="0" borderId="14" xfId="0" applyNumberFormat="1" applyFont="1" applyBorder="1"/>
    <xf numFmtId="38" fontId="2" fillId="2" borderId="8" xfId="0" applyNumberFormat="1" applyFont="1" applyFill="1" applyBorder="1" applyProtection="1">
      <protection locked="0"/>
    </xf>
    <xf numFmtId="38" fontId="2" fillId="0" borderId="8" xfId="0" applyNumberFormat="1" applyFont="1" applyBorder="1"/>
    <xf numFmtId="0" fontId="2" fillId="0" borderId="82" xfId="0" applyFont="1" applyFill="1" applyBorder="1"/>
    <xf numFmtId="0" fontId="2" fillId="0" borderId="83" xfId="0" applyFont="1" applyFill="1" applyBorder="1"/>
    <xf numFmtId="0" fontId="2" fillId="0" borderId="84" xfId="0" applyFont="1" applyBorder="1"/>
    <xf numFmtId="0" fontId="2" fillId="0" borderId="77" xfId="0" applyFont="1" applyBorder="1"/>
    <xf numFmtId="0" fontId="14" fillId="0" borderId="15" xfId="0" applyFont="1" applyBorder="1" applyAlignment="1">
      <alignment horizontal="center"/>
    </xf>
    <xf numFmtId="0" fontId="14" fillId="0" borderId="18" xfId="0" applyFont="1" applyBorder="1" applyAlignment="1">
      <alignment horizontal="center"/>
    </xf>
    <xf numFmtId="0" fontId="2" fillId="0" borderId="85" xfId="0" applyFont="1" applyFill="1" applyBorder="1"/>
    <xf numFmtId="0" fontId="2" fillId="0" borderId="86" xfId="0" applyFont="1" applyFill="1" applyBorder="1"/>
    <xf numFmtId="0" fontId="2" fillId="0" borderId="13" xfId="0" applyFont="1" applyFill="1" applyBorder="1"/>
    <xf numFmtId="0" fontId="2" fillId="0" borderId="87" xfId="0" applyFont="1" applyFill="1" applyBorder="1"/>
    <xf numFmtId="0" fontId="2" fillId="0" borderId="29" xfId="0" applyFont="1" applyFill="1" applyBorder="1"/>
    <xf numFmtId="0" fontId="2" fillId="0" borderId="28" xfId="0" applyFont="1" applyFill="1" applyBorder="1"/>
    <xf numFmtId="0" fontId="14" fillId="0" borderId="16" xfId="0" applyFont="1" applyBorder="1" applyAlignment="1">
      <alignment horizontal="center"/>
    </xf>
    <xf numFmtId="0" fontId="3" fillId="0" borderId="15" xfId="0" applyFont="1" applyBorder="1"/>
    <xf numFmtId="0" fontId="1" fillId="0" borderId="17" xfId="0" applyFont="1" applyBorder="1" applyAlignment="1">
      <alignment horizontal="center" vertical="center" wrapText="1"/>
    </xf>
    <xf numFmtId="0" fontId="29" fillId="0" borderId="6" xfId="0" applyFont="1" applyBorder="1" applyAlignment="1">
      <alignment horizontal="center" vertical="center"/>
    </xf>
    <xf numFmtId="0" fontId="29" fillId="0" borderId="17" xfId="0" applyFont="1" applyBorder="1" applyAlignment="1">
      <alignment horizontal="center" vertical="center"/>
    </xf>
    <xf numFmtId="0" fontId="29" fillId="0" borderId="39" xfId="0" applyFont="1" applyBorder="1" applyAlignment="1">
      <alignment horizontal="center" vertical="center"/>
    </xf>
    <xf numFmtId="0" fontId="29" fillId="0" borderId="3" xfId="0" applyFont="1" applyBorder="1" applyAlignment="1">
      <alignment horizontal="center" vertical="center"/>
    </xf>
    <xf numFmtId="0" fontId="2" fillId="0" borderId="7" xfId="0" applyFont="1" applyBorder="1" applyAlignment="1">
      <alignment horizontal="center"/>
    </xf>
    <xf numFmtId="0" fontId="2" fillId="0" borderId="3" xfId="0" applyFont="1" applyBorder="1" applyAlignment="1">
      <alignment horizontal="center"/>
    </xf>
    <xf numFmtId="0" fontId="3" fillId="0" borderId="4" xfId="0" applyFont="1" applyBorder="1" applyAlignment="1">
      <alignment horizontal="center" wrapText="1"/>
    </xf>
    <xf numFmtId="0" fontId="3" fillId="0" borderId="5" xfId="0" applyFont="1" applyBorder="1" applyAlignment="1">
      <alignment horizontal="center" wrapText="1"/>
    </xf>
    <xf numFmtId="0" fontId="3" fillId="0" borderId="3" xfId="0" applyFont="1" applyBorder="1" applyAlignment="1">
      <alignment horizontal="center"/>
    </xf>
    <xf numFmtId="0" fontId="5" fillId="0" borderId="0" xfId="0" applyFont="1" applyAlignment="1">
      <alignment horizontal="justify" wrapText="1"/>
    </xf>
    <xf numFmtId="0" fontId="0" fillId="0" borderId="0" xfId="0" applyAlignment="1">
      <alignment horizontal="justify" wrapText="1"/>
    </xf>
    <xf numFmtId="0" fontId="0" fillId="0" borderId="5" xfId="0" applyBorder="1" applyAlignment="1">
      <alignment horizontal="center" wrapText="1"/>
    </xf>
    <xf numFmtId="0" fontId="3" fillId="0" borderId="15" xfId="0" applyFont="1" applyBorder="1" applyAlignment="1">
      <alignment horizontal="center" wrapText="1"/>
    </xf>
    <xf numFmtId="0" fontId="3" fillId="0" borderId="16" xfId="0" applyFont="1" applyBorder="1" applyAlignment="1">
      <alignment horizontal="center" wrapText="1"/>
    </xf>
    <xf numFmtId="0" fontId="0" fillId="0" borderId="39" xfId="0" applyBorder="1" applyAlignment="1">
      <alignment horizontal="center" wrapText="1"/>
    </xf>
    <xf numFmtId="0" fontId="0" fillId="0" borderId="3" xfId="0" applyBorder="1" applyAlignment="1">
      <alignment horizontal="center" wrapText="1"/>
    </xf>
    <xf numFmtId="0" fontId="0" fillId="0" borderId="39" xfId="0" applyBorder="1" applyAlignment="1">
      <alignment horizontal="center" vertical="center"/>
    </xf>
    <xf numFmtId="0" fontId="0" fillId="0" borderId="7" xfId="0" applyBorder="1" applyAlignment="1">
      <alignment horizontal="center" vertical="center"/>
    </xf>
    <xf numFmtId="0" fontId="12" fillId="0" borderId="4" xfId="0" applyFont="1" applyBorder="1" applyAlignment="1">
      <alignment wrapText="1" shrinkToFit="1"/>
    </xf>
    <xf numFmtId="0" fontId="12" fillId="0" borderId="5" xfId="0" applyFont="1" applyBorder="1" applyAlignment="1">
      <alignment wrapText="1" shrinkToFit="1"/>
    </xf>
    <xf numFmtId="38" fontId="2" fillId="0" borderId="5" xfId="0" applyNumberFormat="1" applyFont="1" applyBorder="1"/>
    <xf numFmtId="38" fontId="2" fillId="0" borderId="71" xfId="0" applyNumberFormat="1" applyFont="1" applyBorder="1"/>
    <xf numFmtId="38" fontId="2" fillId="0" borderId="81" xfId="0" applyNumberFormat="1" applyFont="1" applyBorder="1"/>
    <xf numFmtId="38" fontId="2" fillId="2" borderId="50" xfId="0" applyNumberFormat="1" applyFont="1" applyFill="1" applyBorder="1" applyProtection="1">
      <protection locked="0"/>
    </xf>
    <xf numFmtId="0" fontId="3" fillId="0" borderId="0" xfId="0" applyFont="1" applyBorder="1" applyAlignment="1">
      <alignment wrapText="1" shrinkToFit="1"/>
    </xf>
    <xf numFmtId="38" fontId="2" fillId="0" borderId="89" xfId="0" applyNumberFormat="1" applyFont="1" applyBorder="1"/>
    <xf numFmtId="0" fontId="12" fillId="0" borderId="10" xfId="0" applyFont="1" applyBorder="1" applyAlignment="1">
      <alignment wrapText="1" shrinkToFit="1"/>
    </xf>
    <xf numFmtId="0" fontId="1" fillId="0" borderId="90" xfId="0" applyFont="1" applyBorder="1" applyAlignment="1">
      <alignment horizontal="center" vertical="center" wrapText="1"/>
    </xf>
    <xf numFmtId="0" fontId="1" fillId="0" borderId="40" xfId="0" applyFont="1" applyBorder="1" applyAlignment="1">
      <alignment horizontal="center" vertical="center" wrapText="1"/>
    </xf>
    <xf numFmtId="0" fontId="1" fillId="0" borderId="95" xfId="0" applyFont="1" applyBorder="1" applyAlignment="1">
      <alignment horizontal="center" vertical="center" wrapText="1"/>
    </xf>
    <xf numFmtId="0" fontId="1" fillId="0" borderId="97" xfId="0" applyFont="1" applyBorder="1" applyAlignment="1">
      <alignment horizontal="center" vertical="center" wrapText="1"/>
    </xf>
    <xf numFmtId="0" fontId="1" fillId="0" borderId="94" xfId="0" applyFont="1" applyBorder="1" applyAlignment="1">
      <alignment horizontal="center" vertical="center" wrapText="1"/>
    </xf>
    <xf numFmtId="0" fontId="1" fillId="0" borderId="96" xfId="0" applyFont="1" applyBorder="1" applyAlignment="1">
      <alignment horizontal="center" vertical="center" wrapText="1"/>
    </xf>
    <xf numFmtId="0" fontId="3" fillId="10" borderId="26" xfId="0" applyFont="1" applyFill="1" applyBorder="1" applyAlignment="1">
      <alignment horizontal="center" vertical="center"/>
    </xf>
    <xf numFmtId="0" fontId="3" fillId="10" borderId="21" xfId="0" applyFont="1" applyFill="1" applyBorder="1" applyAlignment="1">
      <alignment horizontal="center" vertical="center"/>
    </xf>
    <xf numFmtId="0" fontId="2" fillId="0" borderId="24" xfId="0" applyFont="1" applyBorder="1" applyAlignment="1">
      <alignment horizontal="justify" wrapText="1"/>
    </xf>
    <xf numFmtId="0" fontId="2" fillId="0" borderId="0" xfId="0" applyFont="1" applyBorder="1" applyAlignment="1">
      <alignment horizontal="justify" wrapText="1"/>
    </xf>
    <xf numFmtId="0" fontId="2" fillId="0" borderId="22" xfId="0" applyFont="1" applyBorder="1" applyAlignment="1">
      <alignment horizontal="justify" wrapText="1"/>
    </xf>
    <xf numFmtId="0" fontId="13" fillId="0" borderId="24" xfId="0" applyFont="1" applyBorder="1"/>
    <xf numFmtId="0" fontId="13" fillId="0" borderId="0" xfId="0" applyFont="1" applyBorder="1"/>
    <xf numFmtId="0" fontId="13" fillId="0" borderId="22" xfId="0" applyFont="1" applyBorder="1"/>
    <xf numFmtId="0" fontId="6" fillId="0" borderId="0" xfId="0" applyFont="1" applyAlignment="1">
      <alignment shrinkToFit="1"/>
    </xf>
    <xf numFmtId="0" fontId="0" fillId="0" borderId="0" xfId="0" applyFill="1" applyBorder="1" applyAlignment="1">
      <alignment shrinkToFit="1"/>
    </xf>
    <xf numFmtId="0" fontId="13" fillId="0" borderId="0" xfId="0" applyFont="1"/>
    <xf numFmtId="0" fontId="9" fillId="0" borderId="24" xfId="0" applyFont="1" applyBorder="1"/>
    <xf numFmtId="0" fontId="9" fillId="0" borderId="0" xfId="0" applyFont="1" applyBorder="1"/>
    <xf numFmtId="0" fontId="9" fillId="0" borderId="22" xfId="0" applyFont="1" applyBorder="1"/>
    <xf numFmtId="0" fontId="9" fillId="0" borderId="24" xfId="0" applyFont="1" applyBorder="1" applyAlignment="1">
      <alignment wrapText="1"/>
    </xf>
    <xf numFmtId="0" fontId="9" fillId="0" borderId="0" xfId="0" applyFont="1" applyBorder="1" applyAlignment="1">
      <alignment wrapText="1"/>
    </xf>
    <xf numFmtId="0" fontId="9" fillId="0" borderId="22" xfId="0" applyFont="1" applyBorder="1" applyAlignment="1">
      <alignment wrapText="1"/>
    </xf>
    <xf numFmtId="0" fontId="13" fillId="0" borderId="14" xfId="2" applyFont="1" applyBorder="1"/>
    <xf numFmtId="0" fontId="13" fillId="0" borderId="8" xfId="2" applyFont="1" applyBorder="1"/>
    <xf numFmtId="0" fontId="76" fillId="0" borderId="18" xfId="2" applyFont="1" applyBorder="1" applyAlignment="1">
      <alignment horizontal="center"/>
    </xf>
    <xf numFmtId="0" fontId="13" fillId="0" borderId="12" xfId="2" applyBorder="1" applyAlignment="1">
      <alignment shrinkToFit="1"/>
    </xf>
    <xf numFmtId="0" fontId="13" fillId="0" borderId="14" xfId="2" applyBorder="1" applyAlignment="1">
      <alignment shrinkToFit="1"/>
    </xf>
    <xf numFmtId="0" fontId="13" fillId="0" borderId="12" xfId="2" applyFill="1" applyBorder="1" applyAlignment="1">
      <alignment shrinkToFit="1"/>
    </xf>
    <xf numFmtId="0" fontId="13" fillId="0" borderId="14" xfId="2" applyFill="1" applyBorder="1" applyAlignment="1">
      <alignment shrinkToFit="1"/>
    </xf>
    <xf numFmtId="0" fontId="15" fillId="0" borderId="7" xfId="2" applyFont="1" applyBorder="1" applyAlignment="1">
      <alignment horizontal="center" shrinkToFit="1"/>
    </xf>
    <xf numFmtId="0" fontId="15" fillId="0" borderId="3" xfId="2" applyFont="1" applyBorder="1" applyAlignment="1">
      <alignment horizontal="center" shrinkToFit="1"/>
    </xf>
    <xf numFmtId="166" fontId="15" fillId="0" borderId="39" xfId="2" applyNumberFormat="1" applyFont="1" applyBorder="1" applyAlignment="1">
      <alignment horizontal="center" shrinkToFit="1"/>
    </xf>
    <xf numFmtId="166" fontId="15" fillId="0" borderId="7" xfId="2" applyNumberFormat="1" applyFont="1" applyBorder="1" applyAlignment="1">
      <alignment horizontal="center" shrinkToFit="1"/>
    </xf>
    <xf numFmtId="0" fontId="29" fillId="0" borderId="6" xfId="2" applyFont="1" applyBorder="1" applyAlignment="1">
      <alignment horizontal="center" vertical="center"/>
    </xf>
    <xf numFmtId="0" fontId="29" fillId="0" borderId="0" xfId="2" applyFont="1" applyBorder="1" applyAlignment="1">
      <alignment horizontal="center" vertical="center"/>
    </xf>
    <xf numFmtId="0" fontId="29" fillId="0" borderId="17" xfId="2" applyFont="1" applyBorder="1" applyAlignment="1">
      <alignment horizontal="center" vertical="center"/>
    </xf>
    <xf numFmtId="0" fontId="13" fillId="0" borderId="39" xfId="2" applyFont="1" applyBorder="1" applyAlignment="1">
      <alignment horizontal="center" vertical="center"/>
    </xf>
    <xf numFmtId="0" fontId="13" fillId="0" borderId="7" xfId="2" applyFont="1" applyBorder="1" applyAlignment="1">
      <alignment horizontal="center" vertical="center"/>
    </xf>
    <xf numFmtId="0" fontId="13" fillId="0" borderId="3" xfId="2" applyFont="1" applyBorder="1" applyAlignment="1">
      <alignment horizontal="center" vertical="center"/>
    </xf>
    <xf numFmtId="0" fontId="2" fillId="0" borderId="18" xfId="2" applyFont="1" applyBorder="1"/>
    <xf numFmtId="0" fontId="2" fillId="0" borderId="16" xfId="2" applyFont="1" applyBorder="1"/>
    <xf numFmtId="0" fontId="2" fillId="0" borderId="15" xfId="2" applyFont="1" applyBorder="1"/>
  </cellXfs>
  <cellStyles count="4">
    <cellStyle name="Comma" xfId="1" builtinId="3"/>
    <cellStyle name="Normal" xfId="0" builtinId="0"/>
    <cellStyle name="Normal 2" xfId="2" xr:uid="{00000000-0005-0000-0000-000002000000}"/>
    <cellStyle name="Percent" xfId="3" builtinId="5"/>
  </cellStyles>
  <dxfs count="146">
    <dxf>
      <fill>
        <patternFill patternType="lightUp">
          <bgColor indexed="9"/>
        </patternFill>
      </fill>
    </dxf>
    <dxf>
      <fill>
        <patternFill patternType="lightUp">
          <bgColor indexed="9"/>
        </patternFill>
      </fill>
    </dxf>
    <dxf>
      <fill>
        <patternFill patternType="lightUp">
          <bgColor indexed="9"/>
        </patternFill>
      </fill>
    </dxf>
    <dxf>
      <fill>
        <patternFill patternType="lightUp">
          <bgColor indexed="9"/>
        </patternFill>
      </fill>
    </dxf>
    <dxf>
      <fill>
        <patternFill patternType="lightUp">
          <bgColor indexed="9"/>
        </patternFill>
      </fill>
    </dxf>
    <dxf>
      <fill>
        <patternFill patternType="lightUp">
          <bgColor indexed="9"/>
        </patternFill>
      </fill>
    </dxf>
    <dxf>
      <fill>
        <patternFill patternType="lightUp">
          <bgColor indexed="9"/>
        </patternFill>
      </fill>
    </dxf>
    <dxf>
      <fill>
        <patternFill patternType="lightUp">
          <bgColor indexed="9"/>
        </patternFill>
      </fill>
    </dxf>
    <dxf>
      <fill>
        <patternFill patternType="lightUp"/>
      </fill>
    </dxf>
    <dxf>
      <font>
        <condense val="0"/>
        <extend val="0"/>
        <color indexed="9"/>
      </font>
    </dxf>
    <dxf>
      <fill>
        <patternFill patternType="lightUp"/>
      </fill>
    </dxf>
    <dxf>
      <fill>
        <patternFill patternType="lightUp"/>
      </fill>
    </dxf>
    <dxf>
      <font>
        <condense val="0"/>
        <extend val="0"/>
        <color indexed="9"/>
      </font>
    </dxf>
    <dxf>
      <fill>
        <patternFill patternType="lightUp"/>
      </fill>
    </dxf>
    <dxf>
      <fill>
        <patternFill patternType="lightUp"/>
      </fill>
    </dxf>
    <dxf>
      <font>
        <condense val="0"/>
        <extend val="0"/>
        <color indexed="9"/>
      </font>
    </dxf>
    <dxf>
      <fill>
        <patternFill patternType="lightUp"/>
      </fill>
    </dxf>
    <dxf>
      <fill>
        <patternFill patternType="lightUp"/>
      </fill>
    </dxf>
    <dxf>
      <font>
        <condense val="0"/>
        <extend val="0"/>
        <color indexed="9"/>
      </font>
    </dxf>
    <dxf>
      <fill>
        <patternFill patternType="lightUp"/>
      </fill>
    </dxf>
    <dxf>
      <fill>
        <patternFill patternType="lightUp"/>
      </fill>
    </dxf>
    <dxf>
      <font>
        <condense val="0"/>
        <extend val="0"/>
        <color indexed="9"/>
      </font>
    </dxf>
    <dxf>
      <fill>
        <patternFill patternType="lightUp"/>
      </fill>
    </dxf>
    <dxf>
      <fill>
        <patternFill patternType="lightUp"/>
      </fill>
    </dxf>
    <dxf>
      <font>
        <condense val="0"/>
        <extend val="0"/>
        <color indexed="9"/>
      </font>
    </dxf>
    <dxf>
      <fill>
        <patternFill patternType="lightUp"/>
      </fill>
    </dxf>
    <dxf>
      <fill>
        <patternFill patternType="lightUp"/>
      </fill>
    </dxf>
    <dxf>
      <font>
        <condense val="0"/>
        <extend val="0"/>
        <color indexed="9"/>
      </font>
    </dxf>
    <dxf>
      <fill>
        <patternFill patternType="lightUp"/>
      </fill>
    </dxf>
    <dxf>
      <fill>
        <patternFill patternType="lightUp"/>
      </fill>
    </dxf>
    <dxf>
      <font>
        <condense val="0"/>
        <extend val="0"/>
        <color indexed="9"/>
      </font>
    </dxf>
    <dxf>
      <fill>
        <patternFill patternType="lightUp"/>
      </fill>
    </dxf>
    <dxf>
      <fill>
        <patternFill>
          <fgColor indexed="13"/>
          <bgColor indexed="13"/>
        </patternFill>
      </fill>
    </dxf>
    <dxf>
      <fill>
        <patternFill>
          <fgColor indexed="13"/>
          <bgColor indexed="13"/>
        </patternFill>
      </fill>
    </dxf>
    <dxf>
      <fill>
        <patternFill>
          <bgColor indexed="34"/>
        </patternFill>
      </fill>
    </dxf>
    <dxf>
      <font>
        <color theme="0"/>
      </font>
    </dxf>
    <dxf>
      <fill>
        <patternFill>
          <bgColor indexed="34"/>
        </patternFill>
      </fill>
    </dxf>
    <dxf>
      <font>
        <condense val="0"/>
        <extend val="0"/>
        <color indexed="9"/>
      </font>
      <border>
        <left/>
        <right/>
        <top/>
        <bottom/>
      </border>
    </dxf>
    <dxf>
      <fill>
        <patternFill>
          <bgColor indexed="43"/>
        </patternFill>
      </fill>
      <border>
        <left style="thin">
          <color indexed="64"/>
        </left>
        <right style="thin">
          <color indexed="64"/>
        </right>
        <top style="thin">
          <color indexed="64"/>
        </top>
        <bottom style="thin">
          <color indexed="64"/>
        </bottom>
      </border>
    </dxf>
    <dxf>
      <font>
        <condense val="0"/>
        <extend val="0"/>
        <color indexed="9"/>
      </font>
      <fill>
        <patternFill patternType="solid"/>
      </fill>
      <border>
        <left/>
        <right/>
        <top/>
        <bottom/>
      </border>
    </dxf>
    <dxf>
      <font>
        <color rgb="FFFF0000"/>
      </font>
    </dxf>
    <dxf>
      <font>
        <condense val="0"/>
        <extend val="0"/>
        <color indexed="9"/>
      </font>
      <border>
        <left/>
        <right/>
        <top/>
        <bottom/>
      </border>
    </dxf>
    <dxf>
      <font>
        <condense val="0"/>
        <extend val="0"/>
        <color indexed="9"/>
      </font>
      <border>
        <left/>
        <right/>
        <top/>
        <bottom/>
      </border>
    </dxf>
    <dxf>
      <font>
        <condense val="0"/>
        <extend val="0"/>
        <color indexed="9"/>
      </font>
      <border>
        <left style="thin">
          <color indexed="22"/>
        </left>
        <right style="thin">
          <color indexed="22"/>
        </right>
        <top style="thin">
          <color indexed="22"/>
        </top>
        <bottom style="thin">
          <color indexed="22"/>
        </bottom>
      </border>
    </dxf>
    <dxf>
      <border>
        <left/>
        <right/>
        <top/>
        <bottom/>
      </border>
    </dxf>
    <dxf>
      <border>
        <left/>
        <right/>
        <top/>
        <bottom/>
      </border>
    </dxf>
    <dxf>
      <border>
        <left/>
        <right/>
        <top/>
        <bottom/>
      </border>
    </dxf>
    <dxf>
      <border>
        <left/>
        <right/>
        <top/>
        <bottom/>
      </border>
    </dxf>
    <dxf>
      <font>
        <condense val="0"/>
        <extend val="0"/>
        <color indexed="9"/>
      </font>
      <border>
        <left/>
        <right/>
        <top/>
        <bottom/>
      </border>
    </dxf>
    <dxf>
      <font>
        <condense val="0"/>
        <extend val="0"/>
        <color indexed="9"/>
      </font>
      <border>
        <left/>
        <right/>
        <top/>
        <bottom/>
      </border>
    </dxf>
    <dxf>
      <font>
        <condense val="0"/>
        <extend val="0"/>
        <color indexed="9"/>
      </font>
      <border>
        <left/>
        <right/>
        <top/>
        <bottom/>
      </border>
    </dxf>
    <dxf>
      <font>
        <condense val="0"/>
        <extend val="0"/>
        <color indexed="9"/>
      </font>
      <border>
        <left style="thin">
          <color indexed="22"/>
        </left>
        <right style="thin">
          <color indexed="22"/>
        </right>
        <top style="thin">
          <color indexed="22"/>
        </top>
        <bottom style="thin">
          <color indexed="22"/>
        </bottom>
      </border>
    </dxf>
    <dxf>
      <border>
        <left style="thin">
          <color indexed="22"/>
        </left>
        <right style="thin">
          <color indexed="22"/>
        </right>
        <top style="thin">
          <color indexed="22"/>
        </top>
        <bottom style="thin">
          <color indexed="22"/>
        </bottom>
      </border>
    </dxf>
    <dxf>
      <border>
        <left style="thin">
          <color indexed="22"/>
        </left>
        <right style="thin">
          <color indexed="22"/>
        </right>
        <top style="thin">
          <color indexed="22"/>
        </top>
        <bottom style="thin">
          <color indexed="22"/>
        </bottom>
      </border>
    </dxf>
    <dxf>
      <border>
        <left/>
        <right/>
        <top/>
        <bottom/>
      </border>
    </dxf>
    <dxf>
      <border>
        <left/>
        <right/>
        <top/>
        <bottom/>
      </border>
    </dxf>
    <dxf>
      <border>
        <left/>
        <right/>
        <top/>
        <bottom/>
      </border>
    </dxf>
    <dxf>
      <border>
        <left/>
        <right/>
        <top/>
        <bottom/>
      </border>
    </dxf>
    <dxf>
      <font>
        <condense val="0"/>
        <extend val="0"/>
        <color indexed="9"/>
      </font>
      <border>
        <left/>
        <right/>
        <top/>
        <bottom/>
      </border>
    </dxf>
    <dxf>
      <font>
        <condense val="0"/>
        <extend val="0"/>
        <color indexed="9"/>
      </font>
      <border>
        <left/>
        <right/>
        <top/>
        <bottom/>
      </border>
    </dxf>
    <dxf>
      <font>
        <condense val="0"/>
        <extend val="0"/>
        <color indexed="9"/>
      </font>
      <border>
        <left/>
        <right/>
        <top/>
        <bottom/>
      </border>
    </dxf>
    <dxf>
      <font>
        <condense val="0"/>
        <extend val="0"/>
        <color indexed="9"/>
      </font>
      <border>
        <left/>
        <right/>
        <top/>
        <bottom/>
      </border>
    </dxf>
    <dxf>
      <font>
        <condense val="0"/>
        <extend val="0"/>
        <color indexed="9"/>
      </font>
      <border>
        <left/>
        <right/>
        <top/>
        <bottom/>
      </border>
    </dxf>
    <dxf>
      <font>
        <condense val="0"/>
        <extend val="0"/>
        <color indexed="9"/>
      </font>
      <border>
        <left/>
        <right/>
        <top/>
        <bottom/>
      </border>
    </dxf>
    <dxf>
      <font>
        <condense val="0"/>
        <extend val="0"/>
        <color indexed="9"/>
      </font>
      <border>
        <left/>
        <right/>
        <top/>
        <bottom/>
      </border>
    </dxf>
    <dxf>
      <font>
        <condense val="0"/>
        <extend val="0"/>
        <color indexed="9"/>
      </font>
      <border>
        <left/>
        <right/>
        <top/>
        <bottom/>
      </border>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bgColor rgb="FFCCFFFF"/>
        </patternFill>
      </fill>
    </dxf>
    <dxf>
      <font>
        <color rgb="FFFF0000"/>
      </font>
    </dxf>
    <dxf>
      <font>
        <color rgb="FFFF0000"/>
      </font>
    </dxf>
    <dxf>
      <fill>
        <patternFill patternType="lightUp"/>
      </fill>
    </dxf>
    <dxf>
      <fill>
        <patternFill patternType="lightUp"/>
      </fill>
    </dxf>
    <dxf>
      <fill>
        <patternFill patternType="lightUp"/>
      </fill>
    </dxf>
    <dxf>
      <fill>
        <patternFill patternType="lightUp"/>
      </fill>
    </dxf>
    <dxf>
      <fill>
        <patternFill patternType="lightUp">
          <bgColor rgb="FFCCFFFF"/>
        </patternFill>
      </fill>
    </dxf>
    <dxf>
      <fill>
        <patternFill patternType="lightUp"/>
      </fill>
    </dxf>
    <dxf>
      <font>
        <color rgb="FFFF0000"/>
      </font>
    </dxf>
    <dxf>
      <font>
        <color rgb="FFFF0000"/>
      </font>
    </dxf>
    <dxf>
      <font>
        <color rgb="FFFF0000"/>
      </font>
    </dxf>
    <dxf>
      <font>
        <color rgb="FFFF0000"/>
      </font>
    </dxf>
    <dxf>
      <font>
        <color rgb="FFFF0000"/>
      </font>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ont>
        <condense val="0"/>
        <extend val="0"/>
        <color indexed="13"/>
      </font>
      <fill>
        <patternFill>
          <bgColor indexed="10"/>
        </patternFill>
      </fill>
    </dxf>
    <dxf>
      <font>
        <condense val="0"/>
        <extend val="0"/>
        <color auto="1"/>
      </font>
      <fill>
        <patternFill>
          <bgColor indexed="43"/>
        </patternFill>
      </fill>
    </dxf>
    <dxf>
      <fill>
        <patternFill>
          <bgColor indexed="13"/>
        </patternFill>
      </fill>
    </dxf>
    <dxf>
      <font>
        <condense val="0"/>
        <extend val="0"/>
        <color indexed="34"/>
      </font>
      <fill>
        <patternFill>
          <bgColor indexed="10"/>
        </patternFill>
      </fill>
    </dxf>
    <dxf>
      <fill>
        <patternFill patternType="lightUp">
          <bgColor indexed="9"/>
        </patternFill>
      </fill>
    </dxf>
    <dxf>
      <font>
        <b/>
        <i val="0"/>
        <condense val="0"/>
        <extend val="0"/>
        <color indexed="13"/>
      </font>
      <fill>
        <patternFill>
          <bgColor indexed="10"/>
        </patternFill>
      </fill>
    </dxf>
    <dxf>
      <font>
        <b/>
        <i val="0"/>
        <condense val="0"/>
        <extend val="0"/>
        <color indexed="34"/>
      </font>
      <fill>
        <patternFill>
          <bgColor indexed="10"/>
        </patternFill>
      </fill>
    </dxf>
    <dxf>
      <fill>
        <patternFill patternType="lightUp"/>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ont>
        <condense val="0"/>
        <extend val="0"/>
        <color indexed="13"/>
      </font>
      <fill>
        <patternFill>
          <bgColor indexed="10"/>
        </patternFill>
      </fill>
    </dxf>
    <dxf>
      <fill>
        <patternFill>
          <bgColor indexed="13"/>
        </patternFill>
      </fill>
    </dxf>
    <dxf>
      <fill>
        <patternFill>
          <bgColor indexed="13"/>
        </patternFill>
      </fill>
    </dxf>
    <dxf>
      <font>
        <condense val="0"/>
        <extend val="0"/>
        <color indexed="34"/>
      </font>
      <fill>
        <patternFill>
          <bgColor indexed="10"/>
        </patternFill>
      </fill>
    </dxf>
    <dxf>
      <fill>
        <patternFill patternType="lightUp">
          <bgColor indexed="9"/>
        </patternFill>
      </fill>
    </dxf>
    <dxf>
      <font>
        <condense val="0"/>
        <extend val="0"/>
        <color indexed="34"/>
      </font>
      <fill>
        <patternFill>
          <bgColor indexed="10"/>
        </patternFill>
      </fill>
    </dxf>
    <dxf>
      <font>
        <b/>
        <i val="0"/>
        <condense val="0"/>
        <extend val="0"/>
        <color indexed="13"/>
      </font>
      <fill>
        <patternFill>
          <bgColor indexed="10"/>
        </patternFill>
      </fill>
    </dxf>
    <dxf>
      <font>
        <b/>
        <i val="0"/>
        <condense val="0"/>
        <extend val="0"/>
        <color indexed="13"/>
      </font>
      <fill>
        <patternFill>
          <bgColor indexed="10"/>
        </patternFill>
      </fill>
    </dxf>
    <dxf>
      <fill>
        <patternFill patternType="lightUp"/>
      </fill>
    </dxf>
    <dxf>
      <fill>
        <patternFill>
          <bgColor indexed="34"/>
        </patternFill>
      </fill>
    </dxf>
    <dxf>
      <fill>
        <patternFill>
          <bgColor indexed="34"/>
        </patternFill>
      </fill>
    </dxf>
    <dxf>
      <font>
        <condense val="0"/>
        <extend val="0"/>
        <color indexed="13"/>
      </font>
      <fill>
        <patternFill>
          <bgColor indexed="53"/>
        </patternFill>
      </fill>
    </dxf>
    <dxf>
      <fill>
        <patternFill patternType="lightUp">
          <bgColor indexed="9"/>
        </patternFill>
      </fill>
    </dxf>
    <dxf>
      <fill>
        <patternFill patternType="lightUp"/>
      </fill>
    </dxf>
    <dxf>
      <font>
        <condense val="0"/>
        <extend val="0"/>
        <color indexed="13"/>
      </font>
      <fill>
        <patternFill>
          <bgColor indexed="53"/>
        </patternFill>
      </fill>
    </dxf>
    <dxf>
      <fill>
        <patternFill patternType="lightUp"/>
      </fill>
    </dxf>
    <dxf>
      <fill>
        <patternFill patternType="lightUp"/>
      </fill>
    </dxf>
    <dxf>
      <font>
        <condense val="0"/>
        <extend val="0"/>
        <color indexed="13"/>
      </font>
      <fill>
        <patternFill>
          <bgColor indexed="53"/>
        </patternFill>
      </fill>
    </dxf>
    <dxf>
      <fill>
        <patternFill patternType="lightUp"/>
      </fill>
    </dxf>
    <dxf>
      <fill>
        <patternFill patternType="lightUp"/>
      </fill>
    </dxf>
  </dxfs>
  <tableStyles count="0" defaultTableStyle="TableStyleMedium2" defaultPivotStyle="PivotStyleLight16"/>
  <colors>
    <mruColors>
      <color rgb="FF99FF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calcChain" Target="calcChain.xml"/></Relationships>
</file>

<file path=xl/ctrlProps/ctrlProp1.xml><?xml version="1.0" encoding="utf-8"?>
<formControlPr xmlns="http://schemas.microsoft.com/office/spreadsheetml/2009/9/main" objectType="CheckBox" fmlaLink="Data!$B$12" lockText="1" noThreeD="1"/>
</file>

<file path=xl/ctrlProps/ctrlProp2.xml><?xml version="1.0" encoding="utf-8"?>
<formControlPr xmlns="http://schemas.microsoft.com/office/spreadsheetml/2009/9/main" objectType="CheckBox" fmlaLink="Data!$B$13" lockText="1" noThreeD="1"/>
</file>

<file path=xl/ctrlProps/ctrlProp3.xml><?xml version="1.0" encoding="utf-8"?>
<formControlPr xmlns="http://schemas.microsoft.com/office/spreadsheetml/2009/9/main" objectType="CheckBox" fmlaLink="Data!$B$11" lockText="1" noThreeD="1"/>
</file>

<file path=xl/ctrlProps/ctrlProp4.xml><?xml version="1.0" encoding="utf-8"?>
<formControlPr xmlns="http://schemas.microsoft.com/office/spreadsheetml/2009/9/main" objectType="CheckBox" fmlaLink="Data!$B$10" lockText="1" noThreeD="1"/>
</file>

<file path=xl/ctrlProps/ctrlProp5.xml><?xml version="1.0" encoding="utf-8"?>
<formControlPr xmlns="http://schemas.microsoft.com/office/spreadsheetml/2009/9/main" objectType="CheckBox" fmlaLink="Data!$B$15" lockText="1" noThreeD="1"/>
</file>

<file path=xl/ctrlProps/ctrlProp6.xml><?xml version="1.0" encoding="utf-8"?>
<formControlPr xmlns="http://schemas.microsoft.com/office/spreadsheetml/2009/9/main" objectType="CheckBox" fmlaLink="Data!$B$9" lockText="1" noThreeD="1"/>
</file>

<file path=xl/ctrlProps/ctrlProp7.xml><?xml version="1.0" encoding="utf-8"?>
<formControlPr xmlns="http://schemas.microsoft.com/office/spreadsheetml/2009/9/main" objectType="CheckBox" fmlaLink="Data!$B$14" lockText="1" noThreeD="1"/>
</file>

<file path=xl/ctrlProps/ctrlProp8.xml><?xml version="1.0" encoding="utf-8"?>
<formControlPr xmlns="http://schemas.microsoft.com/office/spreadsheetml/2009/9/main" objectType="CheckBox" fmlaLink="Data!$B$16" lockText="1" noThreeD="1"/>
</file>

<file path=xl/ctrlProps/ctrlProp9.xml><?xml version="1.0" encoding="utf-8"?>
<formControlPr xmlns="http://schemas.microsoft.com/office/spreadsheetml/2009/9/main" objectType="CheckBox" fmlaLink="Data!$B$22" lockText="1" noThreeD="1"/>
</file>

<file path=xl/ctrlProps/ctrlProp10.xml><?xml version="1.0" encoding="utf-8"?>
<formControlPr xmlns="http://schemas.microsoft.com/office/spreadsheetml/2009/9/main" objectType="CheckBox" fmlaLink="Data!$B$48"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fmlaLink="Data!$B$26" lockText="1" noThreeD="1"/>
</file>

<file path=xl/ctrlProps/ctrlProp13.xml><?xml version="1.0" encoding="utf-8"?>
<formControlPr xmlns="http://schemas.microsoft.com/office/spreadsheetml/2009/9/main" objectType="CheckBox" checked="Checked" fmlaLink="Data!$B$25" lockText="1" noThreeD="1"/>
</file>

<file path=xl/ctrlProps/ctrlProp14.xml><?xml version="1.0" encoding="utf-8"?>
<formControlPr xmlns="http://schemas.microsoft.com/office/spreadsheetml/2009/9/main" objectType="CheckBox" fmlaLink="Data!$B$166" lockText="1" noThreeD="1"/>
</file>

<file path=xl/ctrlProps/ctrlProp15.xml><?xml version="1.0" encoding="utf-8"?>
<formControlPr xmlns="http://schemas.microsoft.com/office/spreadsheetml/2009/9/main" objectType="CheckBox" fmlaLink="Data!$B$168" lockText="1" noThreeD="1"/>
</file>

<file path=xl/ctrlProps/ctrlProp16.xml><?xml version="1.0" encoding="utf-8"?>
<formControlPr xmlns="http://schemas.microsoft.com/office/spreadsheetml/2009/9/main" objectType="CheckBox" fmlaLink="Data!$B$169" lockText="1" noThreeD="1"/>
</file>

<file path=xl/ctrlProps/ctrlProp17.xml><?xml version="1.0" encoding="utf-8"?>
<formControlPr xmlns="http://schemas.microsoft.com/office/spreadsheetml/2009/9/main" objectType="CheckBox" fmlaLink="Data!$B$180" lockText="1" noThreeD="1"/>
</file>

<file path=xl/ctrlProps/ctrlProp18.xml><?xml version="1.0" encoding="utf-8"?>
<formControlPr xmlns="http://schemas.microsoft.com/office/spreadsheetml/2009/9/main" objectType="CheckBox" fmlaLink="Data!$B$23" lockText="1" noThreeD="1"/>
</file>

<file path=xl/ctrlProps/ctrlProp19.xml><?xml version="1.0" encoding="utf-8"?>
<formControlPr xmlns="http://schemas.microsoft.com/office/spreadsheetml/2009/9/main" objectType="CheckBox" fmlaLink="Data!$F$22" lockText="1" noThreeD="1"/>
</file>

<file path=xl/ctrlProps/ctrlProp20.xml><?xml version="1.0" encoding="utf-8"?>
<formControlPr xmlns="http://schemas.microsoft.com/office/spreadsheetml/2009/9/main" objectType="CheckBox" fmlaLink="Data!$B$21" lockText="1" noThreeD="1"/>
</file>

<file path=xl/ctrlProps/ctrlProp21.xml><?xml version="1.0" encoding="utf-8"?>
<formControlPr xmlns="http://schemas.microsoft.com/office/spreadsheetml/2009/9/main" objectType="CheckBox" fmlaLink="Data!$B$170" lockText="1" noThreeD="1"/>
</file>

<file path=xl/ctrlProps/ctrlProp22.xml><?xml version="1.0" encoding="utf-8"?>
<formControlPr xmlns="http://schemas.microsoft.com/office/spreadsheetml/2009/9/main" objectType="CheckBox" fmlaLink="Data!$D$33" lockText="1" noThreeD="1"/>
</file>

<file path=xl/ctrlProps/ctrlProp23.xml><?xml version="1.0" encoding="utf-8"?>
<formControlPr xmlns="http://schemas.microsoft.com/office/spreadsheetml/2009/9/main" objectType="CheckBox" fmlaLink="Data!$B$22" lockText="1" noThreeD="1"/>
</file>

<file path=xl/ctrlProps/ctrlProp24.xml><?xml version="1.0" encoding="utf-8"?>
<formControlPr xmlns="http://schemas.microsoft.com/office/spreadsheetml/2009/9/main" objectType="CheckBox" fmlaLink="Data!$F$9" lockText="1" noThreeD="1"/>
</file>

<file path=xl/ctrlProps/ctrlProp25.xml><?xml version="1.0" encoding="utf-8"?>
<formControlPr xmlns="http://schemas.microsoft.com/office/spreadsheetml/2009/9/main" objectType="CheckBox" fmlaLink="Data!$B$3" lockText="1" noThreeD="1"/>
</file>

<file path=xl/ctrlProps/ctrlProp26.xml><?xml version="1.0" encoding="utf-8"?>
<formControlPr xmlns="http://schemas.microsoft.com/office/spreadsheetml/2009/9/main" objectType="CheckBox" fmlaLink="Data!$B$4" lockText="1" noThreeD="1"/>
</file>

<file path=xl/ctrlProps/ctrlProp27.xml><?xml version="1.0" encoding="utf-8"?>
<formControlPr xmlns="http://schemas.microsoft.com/office/spreadsheetml/2009/9/main" objectType="CheckBox" fmlaLink="Data!$B$26" lockText="1" noThreeD="1"/>
</file>

<file path=xl/ctrlProps/ctrlProp28.xml><?xml version="1.0" encoding="utf-8"?>
<formControlPr xmlns="http://schemas.microsoft.com/office/spreadsheetml/2009/9/main" objectType="CheckBox" checked="Checked" fmlaLink="Data!$B$25" lockText="1" noThreeD="1"/>
</file>

<file path=xl/ctrlProps/ctrlProp29.xml><?xml version="1.0" encoding="utf-8"?>
<formControlPr xmlns="http://schemas.microsoft.com/office/spreadsheetml/2009/9/main" objectType="CheckBox" fmlaLink="Data!$B$23" lockText="1" noThreeD="1"/>
</file>

<file path=xl/ctrlProps/ctrlProp30.xml><?xml version="1.0" encoding="utf-8"?>
<formControlPr xmlns="http://schemas.microsoft.com/office/spreadsheetml/2009/9/main" objectType="CheckBox" fmlaLink="Data!$B$169" lockText="1" noThreeD="1"/>
</file>

<file path=xl/ctrlProps/ctrlProp31.xml><?xml version="1.0" encoding="utf-8"?>
<formControlPr xmlns="http://schemas.microsoft.com/office/spreadsheetml/2009/9/main" objectType="CheckBox" fmlaLink="Data!$B$168" lockText="1" noThreeD="1"/>
</file>

<file path=xl/ctrlProps/ctrlProp32.xml><?xml version="1.0" encoding="utf-8"?>
<formControlPr xmlns="http://schemas.microsoft.com/office/spreadsheetml/2009/9/main" objectType="CheckBox" fmlaLink="Data!$B$166"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fmlaLink="Data!$B$10" lockText="1" noThreeD="1"/>
</file>

<file path=xl/ctrlProps/ctrlProp36.xml><?xml version="1.0" encoding="utf-8"?>
<formControlPr xmlns="http://schemas.microsoft.com/office/spreadsheetml/2009/9/main" objectType="CheckBox" fmlaLink="Data!$B$21" lockText="1" noThreeD="1"/>
</file>

<file path=xl/ctrlProps/ctrlProp37.xml><?xml version="1.0" encoding="utf-8"?>
<formControlPr xmlns="http://schemas.microsoft.com/office/spreadsheetml/2009/9/main" objectType="CheckBox" fmlaLink="Data!$B$170" lockText="1" noThreeD="1"/>
</file>

<file path=xl/ctrlProps/ctrlProp38.xml><?xml version="1.0" encoding="utf-8"?>
<formControlPr xmlns="http://schemas.microsoft.com/office/spreadsheetml/2009/9/main" objectType="CheckBox" fmlaLink="Data!$B$165" lockText="1" noThreeD="1"/>
</file>

<file path=xl/ctrlProps/ctrlProp39.xml><?xml version="1.0" encoding="utf-8"?>
<formControlPr xmlns="http://schemas.microsoft.com/office/spreadsheetml/2009/9/main" objectType="CheckBox" fmlaLink="Data!$B$167" lockText="1" noThreeD="1"/>
</file>

<file path=xl/ctrlProps/ctrlProp40.xml><?xml version="1.0" encoding="utf-8"?>
<formControlPr xmlns="http://schemas.microsoft.com/office/spreadsheetml/2009/9/main" objectType="CheckBox" fmlaLink="Data!D33" lockText="1" noThreeD="1"/>
</file>

<file path=xl/ctrlProps/ctrlProp41.xml><?xml version="1.0" encoding="utf-8"?>
<formControlPr xmlns="http://schemas.microsoft.com/office/spreadsheetml/2009/9/main" objectType="CheckBox" fmlaLink="Data!$F$22"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Drop" dropLines="20" dropStyle="combo" dx="22" fmlaLink="Overflow!$C$12" fmlaRange="Cities!$C$3:$C$343" sel="1" val="0"/>
</file>

<file path=xl/ctrlProps/ctrlProp44.xml><?xml version="1.0" encoding="utf-8"?>
<formControlPr xmlns="http://schemas.microsoft.com/office/spreadsheetml/2009/9/main" objectType="Drop" dropLines="20" dropStyle="combo" dx="22" fmlaLink="Overflow!$C$13" fmlaRange="Cities!$C$3:$C$343" sel="1" val="0"/>
</file>

<file path=xl/ctrlProps/ctrlProp45.xml><?xml version="1.0" encoding="utf-8"?>
<formControlPr xmlns="http://schemas.microsoft.com/office/spreadsheetml/2009/9/main" objectType="Drop" dropLines="20" dropStyle="combo" dx="22" fmlaLink="Overflow!$C$14" fmlaRange="Cities!$C$3:$C$343" sel="1" val="0"/>
</file>

<file path=xl/ctrlProps/ctrlProp46.xml><?xml version="1.0" encoding="utf-8"?>
<formControlPr xmlns="http://schemas.microsoft.com/office/spreadsheetml/2009/9/main" objectType="Drop" dropLines="20" dropStyle="combo" dx="22" fmlaLink="Overflow!$C$15" fmlaRange="Cities!$C$3:$C$343" sel="1" val="0"/>
</file>

<file path=xl/ctrlProps/ctrlProp47.xml><?xml version="1.0" encoding="utf-8"?>
<formControlPr xmlns="http://schemas.microsoft.com/office/spreadsheetml/2009/9/main" objectType="Drop" dropLines="20" dropStyle="combo" dx="22" fmlaLink="Overflow!$C$16" fmlaRange="Cities!$C$3:$C$343" sel="1" val="0"/>
</file>

<file path=xl/ctrlProps/ctrlProp48.xml><?xml version="1.0" encoding="utf-8"?>
<formControlPr xmlns="http://schemas.microsoft.com/office/spreadsheetml/2009/9/main" objectType="Drop" dropLines="20" dropStyle="combo" dx="22" fmlaLink="Overflow!$C$17" fmlaRange="Cities!$C$3:$C$343" sel="1" val="0"/>
</file>

<file path=xl/ctrlProps/ctrlProp49.xml><?xml version="1.0" encoding="utf-8"?>
<formControlPr xmlns="http://schemas.microsoft.com/office/spreadsheetml/2009/9/main" objectType="Drop" dropLines="20" dropStyle="combo" dx="22" fmlaLink="Overflow!$C$18" fmlaRange="Cities!$C$3:$C$343" sel="1" val="0"/>
</file>

<file path=xl/ctrlProps/ctrlProp50.xml><?xml version="1.0" encoding="utf-8"?>
<formControlPr xmlns="http://schemas.microsoft.com/office/spreadsheetml/2009/9/main" objectType="Drop" dropLines="20" dropStyle="combo" dx="22" fmlaLink="Overflow!$C$19" fmlaRange="Cities!$C$3:$C$343" sel="1" val="0"/>
</file>

<file path=xl/ctrlProps/ctrlProp51.xml><?xml version="1.0" encoding="utf-8"?>
<formControlPr xmlns="http://schemas.microsoft.com/office/spreadsheetml/2009/9/main" objectType="Drop" dropLines="20" dropStyle="combo" dx="22" fmlaLink="Overflow!$C$20" fmlaRange="Cities!$C$3:$C$343" sel="1" val="0"/>
</file>

<file path=xl/ctrlProps/ctrlProp52.xml><?xml version="1.0" encoding="utf-8"?>
<formControlPr xmlns="http://schemas.microsoft.com/office/spreadsheetml/2009/9/main" objectType="Drop" dropLines="20" dropStyle="combo" dx="22" fmlaLink="Overflow!$C$21" fmlaRange="Cities!$C$3:$C$343" sel="1" val="0"/>
</file>

<file path=xl/ctrlProps/ctrlProp53.xml><?xml version="1.0" encoding="utf-8"?>
<formControlPr xmlns="http://schemas.microsoft.com/office/spreadsheetml/2009/9/main" objectType="Drop" dropLines="20" dropStyle="combo" dx="22" fmlaLink="Overflow!$C$22" fmlaRange="Cities!$C$3:$C$343" sel="1" val="0"/>
</file>

<file path=xl/ctrlProps/ctrlProp54.xml><?xml version="1.0" encoding="utf-8"?>
<formControlPr xmlns="http://schemas.microsoft.com/office/spreadsheetml/2009/9/main" objectType="Drop" dropLines="20" dropStyle="combo" dx="22" fmlaLink="Overflow!$C$23" fmlaRange="Cities!$C$3:$C$343" sel="1" val="0"/>
</file>

<file path=xl/ctrlProps/ctrlProp55.xml><?xml version="1.0" encoding="utf-8"?>
<formControlPr xmlns="http://schemas.microsoft.com/office/spreadsheetml/2009/9/main" objectType="Drop" dropLines="20" dropStyle="combo" dx="22" fmlaLink="Overflow!$C$24" fmlaRange="Cities!$C$3:$C$343" sel="1" val="0"/>
</file>

<file path=xl/ctrlProps/ctrlProp56.xml><?xml version="1.0" encoding="utf-8"?>
<formControlPr xmlns="http://schemas.microsoft.com/office/spreadsheetml/2009/9/main" objectType="Drop" dropLines="20" dropStyle="combo" dx="22" fmlaLink="Overflow!$C$25" fmlaRange="Cities!$C$3:$C$343" sel="1" val="0"/>
</file>

<file path=xl/ctrlProps/ctrlProp57.xml><?xml version="1.0" encoding="utf-8"?>
<formControlPr xmlns="http://schemas.microsoft.com/office/spreadsheetml/2009/9/main" objectType="Drop" dropLines="20" dropStyle="combo" dx="22" fmlaLink="Overflow!$C$26" fmlaRange="Cities!$C$3:$C$343" sel="1" val="0"/>
</file>

<file path=xl/ctrlProps/ctrlProp58.xml><?xml version="1.0" encoding="utf-8"?>
<formControlPr xmlns="http://schemas.microsoft.com/office/spreadsheetml/2009/9/main" objectType="Drop" dropLines="20" dropStyle="combo" dx="22" fmlaLink="Overflow!$C$27" fmlaRange="Cities!$C$3:$C$343" sel="1" val="4"/>
</file>

<file path=xl/ctrlProps/ctrlProp59.xml><?xml version="1.0" encoding="utf-8"?>
<formControlPr xmlns="http://schemas.microsoft.com/office/spreadsheetml/2009/9/main" objectType="Drop" dropLines="20" dropStyle="combo" dx="22" fmlaLink="Overflow!$C$28" fmlaRange="Cities!$C$3:$C$343" sel="1" val="5"/>
</file>

<file path=xl/ctrlProps/ctrlProp60.xml><?xml version="1.0" encoding="utf-8"?>
<formControlPr xmlns="http://schemas.microsoft.com/office/spreadsheetml/2009/9/main" objectType="Drop" dropLines="20" dropStyle="combo" dx="22" fmlaLink="Overflow!$C$29" fmlaRange="Cities!$C$3:$C$343" sel="1" val="17"/>
</file>

<file path=xl/ctrlProps/ctrlProp61.xml><?xml version="1.0" encoding="utf-8"?>
<formControlPr xmlns="http://schemas.microsoft.com/office/spreadsheetml/2009/9/main" objectType="Drop" dropLines="20" dropStyle="combo" dx="22" fmlaLink="Overflow!$C$30" fmlaRange="Cities!$C$3:$C$343" sel="1" val="11"/>
</file>

<file path=xl/ctrlProps/ctrlProp62.xml><?xml version="1.0" encoding="utf-8"?>
<formControlPr xmlns="http://schemas.microsoft.com/office/spreadsheetml/2009/9/main" objectType="Drop" dropLines="20" dropStyle="combo" dx="22" fmlaLink="Overflow!$C$31" fmlaRange="Cities!$C$3:$C$343" sel="1" val="16"/>
</file>

<file path=xl/ctrlProps/ctrlProp63.xml><?xml version="1.0" encoding="utf-8"?>
<formControlPr xmlns="http://schemas.microsoft.com/office/spreadsheetml/2009/9/main" objectType="Drop" dropLines="20" dropStyle="combo" dx="22" fmlaLink="Overflow!$C$32" fmlaRange="Cities!$C$3:$C$343" sel="1" val="15"/>
</file>

<file path=xl/ctrlProps/ctrlProp64.xml><?xml version="1.0" encoding="utf-8"?>
<formControlPr xmlns="http://schemas.microsoft.com/office/spreadsheetml/2009/9/main" objectType="Drop" dropLines="20" dropStyle="combo" dx="22" fmlaLink="Overflow!$C$33" fmlaRange="Cities!$C$3:$C$343" sel="1" val="11"/>
</file>

<file path=xl/ctrlProps/ctrlProp65.xml><?xml version="1.0" encoding="utf-8"?>
<formControlPr xmlns="http://schemas.microsoft.com/office/spreadsheetml/2009/9/main" objectType="Drop" dropLines="20" dropStyle="combo" dx="22" fmlaLink="Overflow!$C$34" fmlaRange="Cities!$C$3:$C$343" sel="1" val="11"/>
</file>

<file path=xl/ctrlProps/ctrlProp66.xml><?xml version="1.0" encoding="utf-8"?>
<formControlPr xmlns="http://schemas.microsoft.com/office/spreadsheetml/2009/9/main" objectType="Drop" dropLines="20" dropStyle="combo" dx="22" fmlaLink="Overflow!$C$35" fmlaRange="Cities!$C$3:$C$343" sel="1" val="12"/>
</file>

<file path=xl/ctrlProps/ctrlProp67.xml><?xml version="1.0" encoding="utf-8"?>
<formControlPr xmlns="http://schemas.microsoft.com/office/spreadsheetml/2009/9/main" objectType="Drop" dropLines="20" dropStyle="combo" dx="22" fmlaLink="Overflow!$C$36" fmlaRange="Cities!$C$3:$C$343" sel="1" val="13"/>
</file>

<file path=xl/ctrlProps/ctrlProp68.xml><?xml version="1.0" encoding="utf-8"?>
<formControlPr xmlns="http://schemas.microsoft.com/office/spreadsheetml/2009/9/main" objectType="Drop" dropLines="20" dropStyle="combo" dx="22" fmlaLink="Overflow!$C$37" fmlaRange="Cities!$C$3:$C$343" sel="1" val="17"/>
</file>

<file path=xl/ctrlProps/ctrlProp69.xml><?xml version="1.0" encoding="utf-8"?>
<formControlPr xmlns="http://schemas.microsoft.com/office/spreadsheetml/2009/9/main" objectType="Drop" dropLines="20" dropStyle="combo" dx="22" fmlaLink="Overflow!$C$38" fmlaRange="Cities!$C$3:$C$343" sel="1" val="18"/>
</file>

<file path=xl/ctrlProps/ctrlProp70.xml><?xml version="1.0" encoding="utf-8"?>
<formControlPr xmlns="http://schemas.microsoft.com/office/spreadsheetml/2009/9/main" objectType="Drop" dropLines="20" dropStyle="combo" dx="22" fmlaLink="Overflow!$C$39" fmlaRange="Cities!$C$3:$C$343" sel="1" val="15"/>
</file>

<file path=xl/ctrlProps/ctrlProp71.xml><?xml version="1.0" encoding="utf-8"?>
<formControlPr xmlns="http://schemas.microsoft.com/office/spreadsheetml/2009/9/main" objectType="Drop" dropLines="20" dropStyle="combo" dx="22" fmlaLink="Overflow!$C$40" fmlaRange="Cities!$C$3:$C$343" sel="1" val="22"/>
</file>

<file path=xl/ctrlProps/ctrlProp72.xml><?xml version="1.0" encoding="utf-8"?>
<formControlPr xmlns="http://schemas.microsoft.com/office/spreadsheetml/2009/9/main" objectType="Drop" dropLines="20" dropStyle="combo" dx="22" fmlaLink="Overflow!$C$41" fmlaRange="Cities!$C$3:$C$343" sel="1" val="20"/>
</file>

<file path=xl/ctrlProps/ctrlProp73.xml><?xml version="1.0" encoding="utf-8"?>
<formControlPr xmlns="http://schemas.microsoft.com/office/spreadsheetml/2009/9/main" objectType="Drop" dropLines="20" dropStyle="combo" dx="22" fmlaLink="Overflow!$C$42" fmlaRange="Cities!$C$3:$C$343" sel="1" val="19"/>
</file>

<file path=xl/ctrlProps/ctrlProp74.xml><?xml version="1.0" encoding="utf-8"?>
<formControlPr xmlns="http://schemas.microsoft.com/office/spreadsheetml/2009/9/main" objectType="Drop" dropLines="20" dropStyle="combo" dx="22" fmlaLink="Overflow!$C$43" fmlaRange="Cities!$C$3:$C$343" sel="1" val="21"/>
</file>

<file path=xl/ctrlProps/ctrlProp75.xml><?xml version="1.0" encoding="utf-8"?>
<formControlPr xmlns="http://schemas.microsoft.com/office/spreadsheetml/2009/9/main" objectType="Drop" dropLines="20" dropStyle="combo" dx="22" fmlaLink="Overflow!$C$44" fmlaRange="Cities!$C$3:$C$343" sel="1" val="21"/>
</file>

<file path=xl/ctrlProps/ctrlProp76.xml><?xml version="1.0" encoding="utf-8"?>
<formControlPr xmlns="http://schemas.microsoft.com/office/spreadsheetml/2009/9/main" objectType="Drop" dropLines="20" dropStyle="combo" dx="22" fmlaLink="Overflow!$C$45" fmlaRange="Cities!$C$3:$C$343" sel="1" val="26"/>
</file>

<file path=xl/ctrlProps/ctrlProp77.xml><?xml version="1.0" encoding="utf-8"?>
<formControlPr xmlns="http://schemas.microsoft.com/office/spreadsheetml/2009/9/main" objectType="Drop" dropLines="20" dropStyle="combo" dx="22" fmlaLink="Overflow!$C$46" fmlaRange="Cities!$C$3:$C$343" sel="1" val="26"/>
</file>

<file path=xl/ctrlProps/ctrlProp78.xml><?xml version="1.0" encoding="utf-8"?>
<formControlPr xmlns="http://schemas.microsoft.com/office/spreadsheetml/2009/9/main" objectType="Drop" dropLines="20" dropStyle="combo" dx="22" fmlaLink="Overflow!$C$47" fmlaRange="Cities!$C$3:$C$343" sel="1" val="30"/>
</file>

<file path=xl/ctrlProps/ctrlProp79.xml><?xml version="1.0" encoding="utf-8"?>
<formControlPr xmlns="http://schemas.microsoft.com/office/spreadsheetml/2009/9/main" objectType="Drop" dropLines="20" dropStyle="combo" dx="22" fmlaLink="Overflow!$C$48" fmlaRange="Cities!$C$3:$C$343" sel="1" val="31"/>
</file>

<file path=xl/ctrlProps/ctrlProp80.xml><?xml version="1.0" encoding="utf-8"?>
<formControlPr xmlns="http://schemas.microsoft.com/office/spreadsheetml/2009/9/main" objectType="Drop" dropLines="20" dropStyle="combo" dx="22" fmlaLink="Overflow!$C$49" fmlaRange="Cities!$C$3:$C$343" sel="1" val="31"/>
</file>

<file path=xl/ctrlProps/ctrlProp81.xml><?xml version="1.0" encoding="utf-8"?>
<formControlPr xmlns="http://schemas.microsoft.com/office/spreadsheetml/2009/9/main" objectType="Drop" dropLines="20" dropStyle="combo" dx="22" fmlaLink="Overflow!$C$50" fmlaRange="Cities!$C$3:$C$343" sel="1" val="28"/>
</file>

<file path=xl/ctrlProps/ctrlProp82.xml><?xml version="1.0" encoding="utf-8"?>
<formControlPr xmlns="http://schemas.microsoft.com/office/spreadsheetml/2009/9/main" objectType="Drop" dropLines="20" dropStyle="combo" dx="22" fmlaLink="Overflow!$C$51" fmlaRange="Cities!$C$3:$C$343" sel="1" val="29"/>
</file>

<file path=xl/ctrlProps/ctrlProp83.xml><?xml version="1.0" encoding="utf-8"?>
<formControlPr xmlns="http://schemas.microsoft.com/office/spreadsheetml/2009/9/main" objectType="Drop" dropLines="20" dropStyle="combo" dx="22" fmlaLink="Overflow!$C$52" fmlaRange="Cities!$C$3:$C$343" sel="1" val="40"/>
</file>

<file path=xl/ctrlProps/ctrlProp84.xml><?xml version="1.0" encoding="utf-8"?>
<formControlPr xmlns="http://schemas.microsoft.com/office/spreadsheetml/2009/9/main" objectType="Drop" dropLines="20" dropStyle="combo" dx="22" fmlaLink="Overflow!$C$53" fmlaRange="Cities!$C$3:$C$343" sel="1" val="36"/>
</file>

<file path=xl/ctrlProps/ctrlProp85.xml><?xml version="1.0" encoding="utf-8"?>
<formControlPr xmlns="http://schemas.microsoft.com/office/spreadsheetml/2009/9/main" objectType="Drop" dropLines="20" dropStyle="combo" dx="22" fmlaLink="Overflow!$C$54" fmlaRange="Cities!$C$3:$C$343" sel="1" val="39"/>
</file>

<file path=xl/ctrlProps/ctrlProp86.xml><?xml version="1.0" encoding="utf-8"?>
<formControlPr xmlns="http://schemas.microsoft.com/office/spreadsheetml/2009/9/main" objectType="Drop" dropLines="20" dropStyle="combo" dx="22" fmlaLink="Overflow!$C$55" fmlaRange="Cities!$C$3:$C$343" sel="1" val="39"/>
</file>

<file path=xl/ctrlProps/ctrlProp87.xml><?xml version="1.0" encoding="utf-8"?>
<formControlPr xmlns="http://schemas.microsoft.com/office/spreadsheetml/2009/9/main" objectType="Drop" dropLines="20" dropStyle="combo" dx="22" fmlaLink="Overflow!$C$56" fmlaRange="Cities!$C$3:$C$343" sel="1" val="35"/>
</file>

<file path=xl/ctrlProps/ctrlProp88.xml><?xml version="1.0" encoding="utf-8"?>
<formControlPr xmlns="http://schemas.microsoft.com/office/spreadsheetml/2009/9/main" objectType="CheckBox" fmlaLink="Data!D$33" lockText="1" noThreeD="1"/>
</file>

<file path=xl/ctrlProps/ctrlProp89.xml><?xml version="1.0" encoding="utf-8"?>
<formControlPr xmlns="http://schemas.microsoft.com/office/spreadsheetml/2009/9/main" objectType="Drop" dropLines="20" dropStyle="combo" dx="22" fmlaLink="$C$12" fmlaRange="Cities!$C$3:$C$343" sel="1" val="37"/>
</file>

<file path=xl/ctrlProps/ctrlProp90.xml><?xml version="1.0" encoding="utf-8"?>
<formControlPr xmlns="http://schemas.microsoft.com/office/spreadsheetml/2009/9/main" objectType="Drop" dropLines="20" dropStyle="combo" dx="22" fmlaLink="$C$13" fmlaRange="Cities!$C$3:$C$343" sel="1" val="40"/>
</file>

<file path=xl/ctrlProps/ctrlProp91.xml><?xml version="1.0" encoding="utf-8"?>
<formControlPr xmlns="http://schemas.microsoft.com/office/spreadsheetml/2009/9/main" objectType="Drop" dropLines="20" dropStyle="combo" dx="22" fmlaLink="$C$14" fmlaRange="Cities!$C$3:$C$343" sel="1" val="39"/>
</file>

<file path=xl/ctrlProps/ctrlProp92.xml><?xml version="1.0" encoding="utf-8"?>
<formControlPr xmlns="http://schemas.microsoft.com/office/spreadsheetml/2009/9/main" objectType="Drop" dropLines="20" dropStyle="combo" dx="22" fmlaLink="$C$15" fmlaRange="Cities!$C$3:$C$343" sel="1" val="39"/>
</file>

<file path=xl/ctrlProps/ctrlProp93.xml><?xml version="1.0" encoding="utf-8"?>
<formControlPr xmlns="http://schemas.microsoft.com/office/spreadsheetml/2009/9/main" objectType="Drop" dropLines="20" dropStyle="combo" dx="22" fmlaLink="$C$16" fmlaRange="Cities!$C$3:$C$343" sel="1" val="43"/>
</file>

<file path=xl/ctrlProps/ctrlProp94.xml><?xml version="1.0" encoding="utf-8"?>
<formControlPr xmlns="http://schemas.microsoft.com/office/spreadsheetml/2009/9/main" objectType="Drop" dropLines="20" dropStyle="combo" dx="22" fmlaLink="$C$17" fmlaRange="Cities!$C$3:$C$343" sel="1" val="42"/>
</file>

<file path=xl/ctrlProps/ctrlProp95.xml><?xml version="1.0" encoding="utf-8"?>
<formControlPr xmlns="http://schemas.microsoft.com/office/spreadsheetml/2009/9/main" objectType="Drop" dropLines="20" dropStyle="combo" dx="22" fmlaLink="$C$18" fmlaRange="Cities!$C$3:$C$343" sel="1" val="46"/>
</file>

<file path=xl/ctrlProps/ctrlProp96.xml><?xml version="1.0" encoding="utf-8"?>
<formControlPr xmlns="http://schemas.microsoft.com/office/spreadsheetml/2009/9/main" objectType="Drop" dropLines="20" dropStyle="combo" dx="22" fmlaLink="$C$19" fmlaRange="Cities!$C$3:$C$343" sel="1" val="50"/>
</file>

<file path=xl/ctrlProps/ctrlProp97.xml><?xml version="1.0" encoding="utf-8"?>
<formControlPr xmlns="http://schemas.microsoft.com/office/spreadsheetml/2009/9/main" objectType="Drop" dropLines="20" dropStyle="combo" dx="22" fmlaLink="$C$20" fmlaRange="Cities!$C$3:$C$343" sel="1" val="48"/>
</file>

<file path=xl/ctrlProps/ctrlProp98.xml><?xml version="1.0" encoding="utf-8"?>
<formControlPr xmlns="http://schemas.microsoft.com/office/spreadsheetml/2009/9/main" objectType="Drop" dropLines="20" dropStyle="combo" dx="22" fmlaLink="$C$21" fmlaRange="Cities!$C$3:$C$343" sel="1" val="48"/>
</file>

<file path=xl/ctrlProps/ctrlProp99.xml><?xml version="1.0" encoding="utf-8"?>
<formControlPr xmlns="http://schemas.microsoft.com/office/spreadsheetml/2009/9/main" objectType="Drop" dropLines="20" dropStyle="combo" dx="22" fmlaLink="$C$22" fmlaRange="Cities!$C$3:$C$343" sel="1" val="54"/>
</file>

<file path=xl/ctrlProps/ctrlProp100.xml><?xml version="1.0" encoding="utf-8"?>
<formControlPr xmlns="http://schemas.microsoft.com/office/spreadsheetml/2009/9/main" objectType="Drop" dropLines="20" dropStyle="combo" dx="22" fmlaLink="$C$23" fmlaRange="Cities!$C$3:$C$343" sel="1" val="50"/>
</file>

<file path=xl/ctrlProps/ctrlProp101.xml><?xml version="1.0" encoding="utf-8"?>
<formControlPr xmlns="http://schemas.microsoft.com/office/spreadsheetml/2009/9/main" objectType="Drop" dropLines="20" dropStyle="combo" dx="22" fmlaLink="$C$24" fmlaRange="Cities!$C$3:$C$343" sel="1" val="53"/>
</file>

<file path=xl/ctrlProps/ctrlProp102.xml><?xml version="1.0" encoding="utf-8"?>
<formControlPr xmlns="http://schemas.microsoft.com/office/spreadsheetml/2009/9/main" objectType="Drop" dropLines="20" dropStyle="combo" dx="22" fmlaLink="$C$25" fmlaRange="Cities!$C$3:$C$343" sel="1" val="56"/>
</file>

<file path=xl/ctrlProps/ctrlProp103.xml><?xml version="1.0" encoding="utf-8"?>
<formControlPr xmlns="http://schemas.microsoft.com/office/spreadsheetml/2009/9/main" objectType="Drop" dropLines="20" dropStyle="combo" dx="22" fmlaLink="$C$26" fmlaRange="Cities!$C$3:$C$343" sel="1" val="55"/>
</file>

<file path=xl/ctrlProps/ctrlProp104.xml><?xml version="1.0" encoding="utf-8"?>
<formControlPr xmlns="http://schemas.microsoft.com/office/spreadsheetml/2009/9/main" objectType="Drop" dropLines="20" dropStyle="combo" dx="22" fmlaLink="$C$27" fmlaRange="Cities!$C$3:$C$343" sel="1" val="58"/>
</file>

<file path=xl/ctrlProps/ctrlProp105.xml><?xml version="1.0" encoding="utf-8"?>
<formControlPr xmlns="http://schemas.microsoft.com/office/spreadsheetml/2009/9/main" objectType="Drop" dropLines="20" dropStyle="combo" dx="22" fmlaLink="$C$28" fmlaRange="Cities!$C$3:$C$343" sel="1" val="65"/>
</file>

<file path=xl/ctrlProps/ctrlProp106.xml><?xml version="1.0" encoding="utf-8"?>
<formControlPr xmlns="http://schemas.microsoft.com/office/spreadsheetml/2009/9/main" objectType="Drop" dropLines="20" dropStyle="combo" dx="22" fmlaLink="$C$29" fmlaRange="Cities!$C$3:$C$343" sel="1" val="64"/>
</file>

<file path=xl/ctrlProps/ctrlProp107.xml><?xml version="1.0" encoding="utf-8"?>
<formControlPr xmlns="http://schemas.microsoft.com/office/spreadsheetml/2009/9/main" objectType="Drop" dropLines="20" dropStyle="combo" dx="22" fmlaLink="$C$30" fmlaRange="Cities!$C$3:$C$343" sel="1" val="65"/>
</file>

<file path=xl/ctrlProps/ctrlProp108.xml><?xml version="1.0" encoding="utf-8"?>
<formControlPr xmlns="http://schemas.microsoft.com/office/spreadsheetml/2009/9/main" objectType="Drop" dropLines="20" dropStyle="combo" dx="22" fmlaLink="$C$31" fmlaRange="Cities!$C$3:$C$343" sel="1" val="68"/>
</file>

<file path=xl/ctrlProps/ctrlProp109.xml><?xml version="1.0" encoding="utf-8"?>
<formControlPr xmlns="http://schemas.microsoft.com/office/spreadsheetml/2009/9/main" objectType="Drop" dropLines="20" dropStyle="combo" dx="22" fmlaLink="$C$32" fmlaRange="Cities!$C$3:$C$343" sel="1" val="68"/>
</file>

<file path=xl/ctrlProps/ctrlProp110.xml><?xml version="1.0" encoding="utf-8"?>
<formControlPr xmlns="http://schemas.microsoft.com/office/spreadsheetml/2009/9/main" objectType="Drop" dropLines="20" dropStyle="combo" dx="22" fmlaLink="$C$33" fmlaRange="Cities!$C$3:$C$343" sel="1" val="65"/>
</file>

<file path=xl/ctrlProps/ctrlProp111.xml><?xml version="1.0" encoding="utf-8"?>
<formControlPr xmlns="http://schemas.microsoft.com/office/spreadsheetml/2009/9/main" objectType="Drop" dropLines="20" dropStyle="combo" dx="22" fmlaLink="$C$34" fmlaRange="Cities!$C$3:$C$343" sel="1" val="64"/>
</file>

<file path=xl/ctrlProps/ctrlProp112.xml><?xml version="1.0" encoding="utf-8"?>
<formControlPr xmlns="http://schemas.microsoft.com/office/spreadsheetml/2009/9/main" objectType="Drop" dropLines="20" dropStyle="combo" dx="22" fmlaLink="$C$35" fmlaRange="Cities!$C$3:$C$343" sel="1" val="67"/>
</file>

<file path=xl/ctrlProps/ctrlProp113.xml><?xml version="1.0" encoding="utf-8"?>
<formControlPr xmlns="http://schemas.microsoft.com/office/spreadsheetml/2009/9/main" objectType="Drop" dropLines="20" dropStyle="combo" dx="22" fmlaLink="$C$36" fmlaRange="Cities!$C$3:$C$343" sel="1" val="65"/>
</file>

<file path=xl/ctrlProps/ctrlProp114.xml><?xml version="1.0" encoding="utf-8"?>
<formControlPr xmlns="http://schemas.microsoft.com/office/spreadsheetml/2009/9/main" objectType="Drop" dropLines="20" dropStyle="combo" dx="22" fmlaLink="$C$37" fmlaRange="Cities!$C$3:$C$343" sel="1" val="67"/>
</file>

<file path=xl/ctrlProps/ctrlProp115.xml><?xml version="1.0" encoding="utf-8"?>
<formControlPr xmlns="http://schemas.microsoft.com/office/spreadsheetml/2009/9/main" objectType="Drop" dropLines="20" dropStyle="combo" dx="22" fmlaLink="$C$38" fmlaRange="Cities!$C$3:$C$343" sel="1" val="70"/>
</file>

<file path=xl/ctrlProps/ctrlProp116.xml><?xml version="1.0" encoding="utf-8"?>
<formControlPr xmlns="http://schemas.microsoft.com/office/spreadsheetml/2009/9/main" objectType="Drop" dropLines="20" dropStyle="combo" dx="22" fmlaLink="$C$39" fmlaRange="Cities!$C$3:$C$343" sel="1" val="71"/>
</file>

<file path=xl/ctrlProps/ctrlProp117.xml><?xml version="1.0" encoding="utf-8"?>
<formControlPr xmlns="http://schemas.microsoft.com/office/spreadsheetml/2009/9/main" objectType="Drop" dropLines="20" dropStyle="combo" dx="22" fmlaLink="$C$40" fmlaRange="Cities!$C$3:$C$343" sel="1" val="70"/>
</file>

<file path=xl/ctrlProps/ctrlProp118.xml><?xml version="1.0" encoding="utf-8"?>
<formControlPr xmlns="http://schemas.microsoft.com/office/spreadsheetml/2009/9/main" objectType="Drop" dropLines="20" dropStyle="combo" dx="22" fmlaLink="$C$41" fmlaRange="Cities!$C$3:$C$343" sel="1" val="71"/>
</file>

<file path=xl/ctrlProps/ctrlProp119.xml><?xml version="1.0" encoding="utf-8"?>
<formControlPr xmlns="http://schemas.microsoft.com/office/spreadsheetml/2009/9/main" objectType="Drop" dropLines="20" dropStyle="combo" dx="22" fmlaLink="$C$42" fmlaRange="Cities!$C$3:$C$343" sel="1" val="78"/>
</file>

<file path=xl/ctrlProps/ctrlProp120.xml><?xml version="1.0" encoding="utf-8"?>
<formControlPr xmlns="http://schemas.microsoft.com/office/spreadsheetml/2009/9/main" objectType="Drop" dropLines="20" dropStyle="combo" dx="22" fmlaLink="$C$43" fmlaRange="Cities!$C$3:$C$343" sel="1" val="78"/>
</file>

<file path=xl/ctrlProps/ctrlProp121.xml><?xml version="1.0" encoding="utf-8"?>
<formControlPr xmlns="http://schemas.microsoft.com/office/spreadsheetml/2009/9/main" objectType="Drop" dropLines="20" dropStyle="combo" dx="22" fmlaLink="$C$44" fmlaRange="Cities!$C$3:$C$343" sel="1" val="79"/>
</file>

<file path=xl/ctrlProps/ctrlProp122.xml><?xml version="1.0" encoding="utf-8"?>
<formControlPr xmlns="http://schemas.microsoft.com/office/spreadsheetml/2009/9/main" objectType="Drop" dropLines="20" dropStyle="combo" dx="22" fmlaLink="$C$45" fmlaRange="Cities!$C$3:$C$343" sel="1" val="81"/>
</file>

<file path=xl/ctrlProps/ctrlProp123.xml><?xml version="1.0" encoding="utf-8"?>
<formControlPr xmlns="http://schemas.microsoft.com/office/spreadsheetml/2009/9/main" objectType="Drop" dropLines="20" dropStyle="combo" dx="22" fmlaLink="$C$46" fmlaRange="Cities!$C$3:$C$343" sel="1" val="79"/>
</file>

<file path=xl/ctrlProps/ctrlProp124.xml><?xml version="1.0" encoding="utf-8"?>
<formControlPr xmlns="http://schemas.microsoft.com/office/spreadsheetml/2009/9/main" objectType="Drop" dropLines="20" dropStyle="combo" dx="22" fmlaLink="$C$47" fmlaRange="Cities!$C$3:$C$343" sel="1" val="78"/>
</file>

<file path=xl/ctrlProps/ctrlProp125.xml><?xml version="1.0" encoding="utf-8"?>
<formControlPr xmlns="http://schemas.microsoft.com/office/spreadsheetml/2009/9/main" objectType="Drop" dropLines="20" dropStyle="combo" dx="22" fmlaLink="$C$48" fmlaRange="Cities!$C$3:$C$343" sel="1" val="84"/>
</file>

<file path=xl/ctrlProps/ctrlProp126.xml><?xml version="1.0" encoding="utf-8"?>
<formControlPr xmlns="http://schemas.microsoft.com/office/spreadsheetml/2009/9/main" objectType="Drop" dropLines="20" dropStyle="combo" dx="22" fmlaLink="$C$49" fmlaRange="Cities!$C$3:$C$343" sel="1" val="84"/>
</file>

<file path=xl/ctrlProps/ctrlProp127.xml><?xml version="1.0" encoding="utf-8"?>
<formControlPr xmlns="http://schemas.microsoft.com/office/spreadsheetml/2009/9/main" objectType="Drop" dropLines="20" dropStyle="combo" dx="22" fmlaLink="$C$50" fmlaRange="Cities!$C$3:$C$343" sel="1" val="89"/>
</file>

<file path=xl/ctrlProps/ctrlProp128.xml><?xml version="1.0" encoding="utf-8"?>
<formControlPr xmlns="http://schemas.microsoft.com/office/spreadsheetml/2009/9/main" objectType="Drop" dropLines="20" dropStyle="combo" dx="22" fmlaLink="$C$51" fmlaRange="Cities!$C$3:$C$343" sel="1" val="89"/>
</file>

<file path=xl/ctrlProps/ctrlProp129.xml><?xml version="1.0" encoding="utf-8"?>
<formControlPr xmlns="http://schemas.microsoft.com/office/spreadsheetml/2009/9/main" objectType="Drop" dropLines="20" dropStyle="combo" dx="22" fmlaLink="$C$52" fmlaRange="Cities!$C$3:$C$343" sel="1" val="92"/>
</file>

<file path=xl/ctrlProps/ctrlProp130.xml><?xml version="1.0" encoding="utf-8"?>
<formControlPr xmlns="http://schemas.microsoft.com/office/spreadsheetml/2009/9/main" objectType="Drop" dropLines="20" dropStyle="combo" dx="22" fmlaLink="$C$53" fmlaRange="Cities!$C$3:$C$343" sel="1" val="90"/>
</file>

<file path=xl/ctrlProps/ctrlProp131.xml><?xml version="1.0" encoding="utf-8"?>
<formControlPr xmlns="http://schemas.microsoft.com/office/spreadsheetml/2009/9/main" objectType="Drop" dropLines="20" dropStyle="combo" dx="22" fmlaLink="$C$54" fmlaRange="Cities!$C$3:$C$343" sel="1" val="96"/>
</file>

<file path=xl/ctrlProps/ctrlProp132.xml><?xml version="1.0" encoding="utf-8"?>
<formControlPr xmlns="http://schemas.microsoft.com/office/spreadsheetml/2009/9/main" objectType="Drop" dropLines="20" dropStyle="combo" dx="22" fmlaLink="$C$55" fmlaRange="Cities!$C$3:$C$343" sel="1" val="91"/>
</file>

<file path=xl/ctrlProps/ctrlProp133.xml><?xml version="1.0" encoding="utf-8"?>
<formControlPr xmlns="http://schemas.microsoft.com/office/spreadsheetml/2009/9/main" objectType="Drop" dropLines="20" dropStyle="combo" dx="22" fmlaLink="$C$56" fmlaRange="Cities!$C$3:$C$343" sel="1" val="90"/>
</file>

<file path=xl/ctrlProps/ctrlProp134.xml><?xml version="1.0" encoding="utf-8"?>
<formControlPr xmlns="http://schemas.microsoft.com/office/spreadsheetml/2009/9/main" objectType="CheckBox" fmlaLink="Data!D$33" lockText="1" noThreeD="1"/>
</file>

<file path=xl/ctrlProps/ctrlProp135.xml><?xml version="1.0" encoding="utf-8"?>
<formControlPr xmlns="http://schemas.microsoft.com/office/spreadsheetml/2009/9/main" objectType="Drop" dropLines="20" dropStyle="combo" dx="22" fmlaLink="$C$12" fmlaRange="Cities!$C$3:$C$343" sel="1" val="0"/>
</file>

<file path=xl/ctrlProps/ctrlProp136.xml><?xml version="1.0" encoding="utf-8"?>
<formControlPr xmlns="http://schemas.microsoft.com/office/spreadsheetml/2009/9/main" objectType="Drop" dropLines="20" dropStyle="combo" dx="22" fmlaLink="$C$13" fmlaRange="Cities!$C$3:$C$343" sel="1" val="93"/>
</file>

<file path=xl/ctrlProps/ctrlProp137.xml><?xml version="1.0" encoding="utf-8"?>
<formControlPr xmlns="http://schemas.microsoft.com/office/spreadsheetml/2009/9/main" objectType="Drop" dropLines="20" dropStyle="combo" dx="22" fmlaLink="$C$14" fmlaRange="Cities!$C$3:$C$343" sel="1" val="103"/>
</file>

<file path=xl/ctrlProps/ctrlProp138.xml><?xml version="1.0" encoding="utf-8"?>
<formControlPr xmlns="http://schemas.microsoft.com/office/spreadsheetml/2009/9/main" objectType="Drop" dropLines="20" dropStyle="combo" dx="22" fmlaLink="$C$15" fmlaRange="Cities!$C$3:$C$343" sel="1" val="103"/>
</file>

<file path=xl/ctrlProps/ctrlProp139.xml><?xml version="1.0" encoding="utf-8"?>
<formControlPr xmlns="http://schemas.microsoft.com/office/spreadsheetml/2009/9/main" objectType="Drop" dropLines="20" dropStyle="combo" dx="22" fmlaLink="$C$16" fmlaRange="Cities!$C$3:$C$343" sel="1" val="104"/>
</file>

<file path=xl/ctrlProps/ctrlProp140.xml><?xml version="1.0" encoding="utf-8"?>
<formControlPr xmlns="http://schemas.microsoft.com/office/spreadsheetml/2009/9/main" objectType="Drop" dropLines="20" dropStyle="combo" dx="22" fmlaLink="$C$17" fmlaRange="Cities!$C$3:$C$343" sel="1" val="105"/>
</file>

<file path=xl/ctrlProps/ctrlProp141.xml><?xml version="1.0" encoding="utf-8"?>
<formControlPr xmlns="http://schemas.microsoft.com/office/spreadsheetml/2009/9/main" objectType="Drop" dropLines="20" dropStyle="combo" dx="22" fmlaLink="$C$18" fmlaRange="Cities!$C$3:$C$343" sel="1" val="107"/>
</file>

<file path=xl/ctrlProps/ctrlProp142.xml><?xml version="1.0" encoding="utf-8"?>
<formControlPr xmlns="http://schemas.microsoft.com/office/spreadsheetml/2009/9/main" objectType="Drop" dropLines="20" dropStyle="combo" dx="22" fmlaLink="$C$19" fmlaRange="Cities!$C$3:$C$343" sel="1" val="116"/>
</file>

<file path=xl/ctrlProps/ctrlProp143.xml><?xml version="1.0" encoding="utf-8"?>
<formControlPr xmlns="http://schemas.microsoft.com/office/spreadsheetml/2009/9/main" objectType="Drop" dropLines="20" dropStyle="combo" dx="22" fmlaLink="$C$20" fmlaRange="Cities!$C$3:$C$343" sel="1" val="118"/>
</file>

<file path=xl/ctrlProps/ctrlProp144.xml><?xml version="1.0" encoding="utf-8"?>
<formControlPr xmlns="http://schemas.microsoft.com/office/spreadsheetml/2009/9/main" objectType="Drop" dropLines="20" dropStyle="combo" dx="22" fmlaLink="$C$21" fmlaRange="Cities!$C$3:$C$343" sel="1" val="108"/>
</file>

<file path=xl/ctrlProps/ctrlProp145.xml><?xml version="1.0" encoding="utf-8"?>
<formControlPr xmlns="http://schemas.microsoft.com/office/spreadsheetml/2009/9/main" objectType="Drop" dropLines="20" dropStyle="combo" dx="22" fmlaLink="$C$22" fmlaRange="Cities!$C$3:$C$343" sel="1" val="111"/>
</file>

<file path=xl/ctrlProps/ctrlProp146.xml><?xml version="1.0" encoding="utf-8"?>
<formControlPr xmlns="http://schemas.microsoft.com/office/spreadsheetml/2009/9/main" objectType="Drop" dropLines="20" dropStyle="combo" dx="22" fmlaLink="$C$23" fmlaRange="Cities!$C$3:$C$343" sel="1" val="108"/>
</file>

<file path=xl/ctrlProps/ctrlProp147.xml><?xml version="1.0" encoding="utf-8"?>
<formControlPr xmlns="http://schemas.microsoft.com/office/spreadsheetml/2009/9/main" objectType="Drop" dropLines="20" dropStyle="combo" dx="22" fmlaLink="$C$24" fmlaRange="Cities!$C$3:$C$343" sel="1" val="110"/>
</file>

<file path=xl/ctrlProps/ctrlProp148.xml><?xml version="1.0" encoding="utf-8"?>
<formControlPr xmlns="http://schemas.microsoft.com/office/spreadsheetml/2009/9/main" objectType="Drop" dropLines="20" dropStyle="combo" dx="22" fmlaLink="$C$25" fmlaRange="Cities!$C$3:$C$343" sel="1" val="108"/>
</file>

<file path=xl/ctrlProps/ctrlProp149.xml><?xml version="1.0" encoding="utf-8"?>
<formControlPr xmlns="http://schemas.microsoft.com/office/spreadsheetml/2009/9/main" objectType="Drop" dropLines="20" dropStyle="combo" dx="22" fmlaLink="$C$26" fmlaRange="Cities!$C$3:$C$343" sel="1" val="125"/>
</file>

<file path=xl/ctrlProps/ctrlProp150.xml><?xml version="1.0" encoding="utf-8"?>
<formControlPr xmlns="http://schemas.microsoft.com/office/spreadsheetml/2009/9/main" objectType="Drop" dropLines="20" dropStyle="combo" dx="22" fmlaLink="$C$27" fmlaRange="Cities!$C$3:$C$343" sel="1" val="121"/>
</file>

<file path=xl/ctrlProps/ctrlProp151.xml><?xml version="1.0" encoding="utf-8"?>
<formControlPr xmlns="http://schemas.microsoft.com/office/spreadsheetml/2009/9/main" objectType="Drop" dropLines="20" dropStyle="combo" dx="22" fmlaLink="$C$28" fmlaRange="Cities!$C$3:$C$343" sel="1" val="124"/>
</file>

<file path=xl/ctrlProps/ctrlProp152.xml><?xml version="1.0" encoding="utf-8"?>
<formControlPr xmlns="http://schemas.microsoft.com/office/spreadsheetml/2009/9/main" objectType="Drop" dropLines="20" dropStyle="combo" dx="22" fmlaLink="$C$29" fmlaRange="Cities!$C$3:$C$343" sel="1" val="123"/>
</file>

<file path=xl/ctrlProps/ctrlProp153.xml><?xml version="1.0" encoding="utf-8"?>
<formControlPr xmlns="http://schemas.microsoft.com/office/spreadsheetml/2009/9/main" objectType="Drop" dropLines="20" dropStyle="combo" dx="22" fmlaLink="$C$30" fmlaRange="Cities!$C$3:$C$343" sel="1" val="125"/>
</file>

<file path=xl/ctrlProps/ctrlProp154.xml><?xml version="1.0" encoding="utf-8"?>
<formControlPr xmlns="http://schemas.microsoft.com/office/spreadsheetml/2009/9/main" objectType="Drop" dropLines="20" dropStyle="combo" dx="22" fmlaLink="$C$31" fmlaRange="Cities!$C$3:$C$343" sel="1" val="120"/>
</file>

<file path=xl/ctrlProps/ctrlProp155.xml><?xml version="1.0" encoding="utf-8"?>
<formControlPr xmlns="http://schemas.microsoft.com/office/spreadsheetml/2009/9/main" objectType="Drop" dropLines="20" dropStyle="combo" dx="22" fmlaLink="$C$32" fmlaRange="Cities!$C$3:$C$343" sel="1" val="122"/>
</file>

<file path=xl/ctrlProps/ctrlProp156.xml><?xml version="1.0" encoding="utf-8"?>
<formControlPr xmlns="http://schemas.microsoft.com/office/spreadsheetml/2009/9/main" objectType="Drop" dropLines="20" dropStyle="combo" dx="22" fmlaLink="$C$33" fmlaRange="Cities!$C$3:$C$343" sel="1" val="128"/>
</file>

<file path=xl/ctrlProps/ctrlProp157.xml><?xml version="1.0" encoding="utf-8"?>
<formControlPr xmlns="http://schemas.microsoft.com/office/spreadsheetml/2009/9/main" objectType="Drop" dropLines="20" dropStyle="combo" dx="22" fmlaLink="$C$34" fmlaRange="Cities!$C$3:$C$343" sel="1" val="130"/>
</file>

<file path=xl/ctrlProps/ctrlProp158.xml><?xml version="1.0" encoding="utf-8"?>
<formControlPr xmlns="http://schemas.microsoft.com/office/spreadsheetml/2009/9/main" objectType="Drop" dropLines="20" dropStyle="combo" dx="22" fmlaLink="$C$35" fmlaRange="Cities!$C$3:$C$343" sel="1" val="132"/>
</file>

<file path=xl/ctrlProps/ctrlProp159.xml><?xml version="1.0" encoding="utf-8"?>
<formControlPr xmlns="http://schemas.microsoft.com/office/spreadsheetml/2009/9/main" objectType="Drop" dropLines="20" dropStyle="combo" dx="22" fmlaLink="$C$36" fmlaRange="Cities!$C$3:$C$343" sel="1" val="137"/>
</file>

<file path=xl/ctrlProps/ctrlProp160.xml><?xml version="1.0" encoding="utf-8"?>
<formControlPr xmlns="http://schemas.microsoft.com/office/spreadsheetml/2009/9/main" objectType="Drop" dropLines="20" dropStyle="combo" dx="22" fmlaLink="$C$37" fmlaRange="Cities!$C$3:$C$343" sel="1" val="125"/>
</file>

<file path=xl/ctrlProps/ctrlProp161.xml><?xml version="1.0" encoding="utf-8"?>
<formControlPr xmlns="http://schemas.microsoft.com/office/spreadsheetml/2009/9/main" objectType="Drop" dropLines="20" dropStyle="combo" dx="22" fmlaLink="$C$38" fmlaRange="Cities!$C$3:$C$343" sel="1" val="140"/>
</file>

<file path=xl/ctrlProps/ctrlProp162.xml><?xml version="1.0" encoding="utf-8"?>
<formControlPr xmlns="http://schemas.microsoft.com/office/spreadsheetml/2009/9/main" objectType="Drop" dropLines="20" dropStyle="combo" dx="22" fmlaLink="$C$39" fmlaRange="Cities!$C$3:$C$343" sel="1" val="133"/>
</file>

<file path=xl/ctrlProps/ctrlProp163.xml><?xml version="1.0" encoding="utf-8"?>
<formControlPr xmlns="http://schemas.microsoft.com/office/spreadsheetml/2009/9/main" objectType="Drop" dropLines="20" dropStyle="combo" dx="22" fmlaLink="$C$40" fmlaRange="Cities!$C$3:$C$343" sel="1" val="135"/>
</file>

<file path=xl/ctrlProps/ctrlProp164.xml><?xml version="1.0" encoding="utf-8"?>
<formControlPr xmlns="http://schemas.microsoft.com/office/spreadsheetml/2009/9/main" objectType="Drop" dropLines="20" dropStyle="combo" dx="22" fmlaLink="$C$41" fmlaRange="Cities!$C$3:$C$343" sel="1" val="136"/>
</file>

<file path=xl/ctrlProps/ctrlProp165.xml><?xml version="1.0" encoding="utf-8"?>
<formControlPr xmlns="http://schemas.microsoft.com/office/spreadsheetml/2009/9/main" objectType="Drop" dropLines="20" dropStyle="combo" dx="22" fmlaLink="$C$42" fmlaRange="Cities!$C$3:$C$343" sel="1" val="136"/>
</file>

<file path=xl/ctrlProps/ctrlProp166.xml><?xml version="1.0" encoding="utf-8"?>
<formControlPr xmlns="http://schemas.microsoft.com/office/spreadsheetml/2009/9/main" objectType="Drop" dropLines="20" dropStyle="combo" dx="22" fmlaLink="$C$43" fmlaRange="Cities!$C$3:$C$343" sel="1" val="133"/>
</file>

<file path=xl/ctrlProps/ctrlProp167.xml><?xml version="1.0" encoding="utf-8"?>
<formControlPr xmlns="http://schemas.microsoft.com/office/spreadsheetml/2009/9/main" objectType="Drop" dropLines="20" dropStyle="combo" dx="22" fmlaLink="$C$44" fmlaRange="Cities!$C$3:$C$343" sel="1" val="135"/>
</file>

<file path=xl/ctrlProps/ctrlProp168.xml><?xml version="1.0" encoding="utf-8"?>
<formControlPr xmlns="http://schemas.microsoft.com/office/spreadsheetml/2009/9/main" objectType="Drop" dropLines="20" dropStyle="combo" dx="22" fmlaLink="$C$45" fmlaRange="Cities!$C$3:$C$343" sel="1" val="141"/>
</file>

<file path=xl/ctrlProps/ctrlProp169.xml><?xml version="1.0" encoding="utf-8"?>
<formControlPr xmlns="http://schemas.microsoft.com/office/spreadsheetml/2009/9/main" objectType="Drop" dropLines="20" dropStyle="combo" dx="22" fmlaLink="$C$46" fmlaRange="Cities!$C$3:$C$343" sel="1" val="142"/>
</file>

<file path=xl/ctrlProps/ctrlProp170.xml><?xml version="1.0" encoding="utf-8"?>
<formControlPr xmlns="http://schemas.microsoft.com/office/spreadsheetml/2009/9/main" objectType="Drop" dropLines="20" dropStyle="combo" dx="22" fmlaLink="$C$47" fmlaRange="Cities!$C$3:$C$343" sel="1" val="154"/>
</file>

<file path=xl/ctrlProps/ctrlProp171.xml><?xml version="1.0" encoding="utf-8"?>
<formControlPr xmlns="http://schemas.microsoft.com/office/spreadsheetml/2009/9/main" objectType="Drop" dropLines="20" dropStyle="combo" dx="22" fmlaLink="$C$48" fmlaRange="Cities!$C$3:$C$343" sel="1" val="152"/>
</file>

<file path=xl/ctrlProps/ctrlProp172.xml><?xml version="1.0" encoding="utf-8"?>
<formControlPr xmlns="http://schemas.microsoft.com/office/spreadsheetml/2009/9/main" objectType="Drop" dropLines="20" dropStyle="combo" dx="22" fmlaLink="$C$49" fmlaRange="Cities!$C$3:$C$343" sel="1" val="156"/>
</file>

<file path=xl/ctrlProps/ctrlProp173.xml><?xml version="1.0" encoding="utf-8"?>
<formControlPr xmlns="http://schemas.microsoft.com/office/spreadsheetml/2009/9/main" objectType="Drop" dropLines="20" dropStyle="combo" dx="22" fmlaLink="$C$50" fmlaRange="Cities!$C$3:$C$343" sel="1" val="151"/>
</file>

<file path=xl/ctrlProps/ctrlProp174.xml><?xml version="1.0" encoding="utf-8"?>
<formControlPr xmlns="http://schemas.microsoft.com/office/spreadsheetml/2009/9/main" objectType="Drop" dropLines="20" dropStyle="combo" dx="22" fmlaLink="$C$51" fmlaRange="Cities!$C$3:$C$343" sel="1" val="147"/>
</file>

<file path=xl/ctrlProps/ctrlProp175.xml><?xml version="1.0" encoding="utf-8"?>
<formControlPr xmlns="http://schemas.microsoft.com/office/spreadsheetml/2009/9/main" objectType="Drop" dropLines="20" dropStyle="combo" dx="22" fmlaLink="$C$52" fmlaRange="Cities!$C$3:$C$343" sel="1" val="158"/>
</file>

<file path=xl/ctrlProps/ctrlProp176.xml><?xml version="1.0" encoding="utf-8"?>
<formControlPr xmlns="http://schemas.microsoft.com/office/spreadsheetml/2009/9/main" objectType="Drop" dropLines="20" dropStyle="combo" dx="22" fmlaLink="$C$53" fmlaRange="Cities!$C$3:$C$343" sel="1" val="157"/>
</file>

<file path=xl/ctrlProps/ctrlProp177.xml><?xml version="1.0" encoding="utf-8"?>
<formControlPr xmlns="http://schemas.microsoft.com/office/spreadsheetml/2009/9/main" objectType="Drop" dropLines="20" dropStyle="combo" dx="22" fmlaLink="$C$54" fmlaRange="Cities!$C$3:$C$343" sel="1" val="163"/>
</file>

<file path=xl/ctrlProps/ctrlProp178.xml><?xml version="1.0" encoding="utf-8"?>
<formControlPr xmlns="http://schemas.microsoft.com/office/spreadsheetml/2009/9/main" objectType="Drop" dropLines="20" dropStyle="combo" dx="22" fmlaLink="$C$55" fmlaRange="Cities!$C$3:$C$343" sel="1" val="155"/>
</file>

<file path=xl/ctrlProps/ctrlProp179.xml><?xml version="1.0" encoding="utf-8"?>
<formControlPr xmlns="http://schemas.microsoft.com/office/spreadsheetml/2009/9/main" objectType="Drop" dropLines="20" dropStyle="combo" dx="22" fmlaLink="$C$56" fmlaRange="Cities!$C$3:$C$343" sel="1" val="151"/>
</file>

<file path=xl/ctrlProps/ctrlProp180.xml><?xml version="1.0" encoding="utf-8"?>
<formControlPr xmlns="http://schemas.microsoft.com/office/spreadsheetml/2009/9/main" objectType="CheckBox" fmlaLink="Data!D$33" lockText="1" noThreeD="1"/>
</file>

<file path=xl/ctrlProps/ctrlProp181.xml><?xml version="1.0" encoding="utf-8"?>
<formControlPr xmlns="http://schemas.microsoft.com/office/spreadsheetml/2009/9/main" objectType="Drop" dropLines="20" dropStyle="combo" dx="22" fmlaLink="$C$12" fmlaRange="Cities!$C$3:$C$343" sel="1" val="0"/>
</file>

<file path=xl/ctrlProps/ctrlProp182.xml><?xml version="1.0" encoding="utf-8"?>
<formControlPr xmlns="http://schemas.microsoft.com/office/spreadsheetml/2009/9/main" objectType="Drop" dropLines="20" dropStyle="combo" dx="22" fmlaLink="$C$13" fmlaRange="Cities!$C$3:$C$343" sel="1" val="158"/>
</file>

<file path=xl/ctrlProps/ctrlProp183.xml><?xml version="1.0" encoding="utf-8"?>
<formControlPr xmlns="http://schemas.microsoft.com/office/spreadsheetml/2009/9/main" objectType="Drop" dropLines="20" dropStyle="combo" dx="22" fmlaLink="$C$14" fmlaRange="Cities!$C$3:$C$343" sel="1" val="155"/>
</file>

<file path=xl/ctrlProps/ctrlProp184.xml><?xml version="1.0" encoding="utf-8"?>
<formControlPr xmlns="http://schemas.microsoft.com/office/spreadsheetml/2009/9/main" objectType="Drop" dropLines="20" dropStyle="combo" dx="22" fmlaLink="$C$15" fmlaRange="Cities!$C$3:$C$343" sel="1" val="165"/>
</file>

<file path=xl/ctrlProps/ctrlProp185.xml><?xml version="1.0" encoding="utf-8"?>
<formControlPr xmlns="http://schemas.microsoft.com/office/spreadsheetml/2009/9/main" objectType="Drop" dropLines="20" dropStyle="combo" dx="22" fmlaLink="$C$16" fmlaRange="Cities!$C$3:$C$343" sel="1" val="162"/>
</file>

<file path=xl/ctrlProps/ctrlProp186.xml><?xml version="1.0" encoding="utf-8"?>
<formControlPr xmlns="http://schemas.microsoft.com/office/spreadsheetml/2009/9/main" objectType="Drop" dropLines="20" dropStyle="combo" dx="22" fmlaLink="$C$17" fmlaRange="Cities!$C$3:$C$343" sel="1" val="168"/>
</file>

<file path=xl/ctrlProps/ctrlProp187.xml><?xml version="1.0" encoding="utf-8"?>
<formControlPr xmlns="http://schemas.microsoft.com/office/spreadsheetml/2009/9/main" objectType="Drop" dropLines="20" dropStyle="combo" dx="22" fmlaLink="$C$18" fmlaRange="Cities!$C$3:$C$343" sel="1" val="173"/>
</file>

<file path=xl/ctrlProps/ctrlProp188.xml><?xml version="1.0" encoding="utf-8"?>
<formControlPr xmlns="http://schemas.microsoft.com/office/spreadsheetml/2009/9/main" objectType="Drop" dropLines="20" dropStyle="combo" dx="22" fmlaLink="$C$19" fmlaRange="Cities!$C$3:$C$343" sel="1" val="163"/>
</file>

<file path=xl/ctrlProps/ctrlProp189.xml><?xml version="1.0" encoding="utf-8"?>
<formControlPr xmlns="http://schemas.microsoft.com/office/spreadsheetml/2009/9/main" objectType="Drop" dropLines="20" dropStyle="combo" dx="22" fmlaLink="$C$20" fmlaRange="Cities!$C$3:$C$343" sel="1" val="162"/>
</file>

<file path=xl/ctrlProps/ctrlProp190.xml><?xml version="1.0" encoding="utf-8"?>
<formControlPr xmlns="http://schemas.microsoft.com/office/spreadsheetml/2009/9/main" objectType="Drop" dropLines="20" dropStyle="combo" dx="22" fmlaLink="$C$21" fmlaRange="Cities!$C$3:$C$343" sel="1" val="165"/>
</file>

<file path=xl/ctrlProps/ctrlProp191.xml><?xml version="1.0" encoding="utf-8"?>
<formControlPr xmlns="http://schemas.microsoft.com/office/spreadsheetml/2009/9/main" objectType="Drop" dropLines="20" dropStyle="combo" dx="22" fmlaLink="$C$22" fmlaRange="Cities!$C$3:$C$343" sel="1" val="168"/>
</file>

<file path=xl/ctrlProps/ctrlProp192.xml><?xml version="1.0" encoding="utf-8"?>
<formControlPr xmlns="http://schemas.microsoft.com/office/spreadsheetml/2009/9/main" objectType="Drop" dropLines="20" dropStyle="combo" dx="22" fmlaLink="$C$23" fmlaRange="Cities!$C$3:$C$343" sel="1" val="174"/>
</file>

<file path=xl/ctrlProps/ctrlProp193.xml><?xml version="1.0" encoding="utf-8"?>
<formControlPr xmlns="http://schemas.microsoft.com/office/spreadsheetml/2009/9/main" objectType="Drop" dropLines="20" dropStyle="combo" dx="22" fmlaLink="$C$24" fmlaRange="Cities!$C$3:$C$343" sel="1" val="183"/>
</file>

<file path=xl/ctrlProps/ctrlProp194.xml><?xml version="1.0" encoding="utf-8"?>
<formControlPr xmlns="http://schemas.microsoft.com/office/spreadsheetml/2009/9/main" objectType="Drop" dropLines="20" dropStyle="combo" dx="22" fmlaLink="$C$25" fmlaRange="Cities!$C$3:$C$343" sel="1" val="184"/>
</file>

<file path=xl/ctrlProps/ctrlProp195.xml><?xml version="1.0" encoding="utf-8"?>
<formControlPr xmlns="http://schemas.microsoft.com/office/spreadsheetml/2009/9/main" objectType="Drop" dropLines="20" dropStyle="combo" dx="22" fmlaLink="$C$26" fmlaRange="Cities!$C$3:$C$343" sel="1" val="174"/>
</file>

<file path=xl/ctrlProps/ctrlProp196.xml><?xml version="1.0" encoding="utf-8"?>
<formControlPr xmlns="http://schemas.microsoft.com/office/spreadsheetml/2009/9/main" objectType="Drop" dropLines="20" dropStyle="combo" dx="22" fmlaLink="$C$27" fmlaRange="Cities!$C$3:$C$343" sel="1" val="174"/>
</file>

<file path=xl/ctrlProps/ctrlProp197.xml><?xml version="1.0" encoding="utf-8"?>
<formControlPr xmlns="http://schemas.microsoft.com/office/spreadsheetml/2009/9/main" objectType="Drop" dropLines="20" dropStyle="combo" dx="22" fmlaLink="$C$28" fmlaRange="Cities!$C$3:$C$343" sel="1" val="169"/>
</file>

<file path=xl/ctrlProps/ctrlProp198.xml><?xml version="1.0" encoding="utf-8"?>
<formControlPr xmlns="http://schemas.microsoft.com/office/spreadsheetml/2009/9/main" objectType="Drop" dropLines="20" dropStyle="combo" dx="22" fmlaLink="$C$29" fmlaRange="Cities!$C$3:$C$343" sel="1" val="179"/>
</file>

<file path=xl/ctrlProps/ctrlProp199.xml><?xml version="1.0" encoding="utf-8"?>
<formControlPr xmlns="http://schemas.microsoft.com/office/spreadsheetml/2009/9/main" objectType="Drop" dropLines="20" dropStyle="combo" dx="22" fmlaLink="$C$30" fmlaRange="Cities!$C$3:$C$343" sel="1" val="185"/>
</file>

<file path=xl/ctrlProps/ctrlProp200.xml><?xml version="1.0" encoding="utf-8"?>
<formControlPr xmlns="http://schemas.microsoft.com/office/spreadsheetml/2009/9/main" objectType="Drop" dropLines="20" dropStyle="combo" dx="22" fmlaLink="$C$31" fmlaRange="Cities!$C$3:$C$343" sel="1" val="174"/>
</file>

<file path=xl/ctrlProps/ctrlProp201.xml><?xml version="1.0" encoding="utf-8"?>
<formControlPr xmlns="http://schemas.microsoft.com/office/spreadsheetml/2009/9/main" objectType="Drop" dropLines="20" dropStyle="combo" dx="22" fmlaLink="$C$32" fmlaRange="Cities!$C$3:$C$343" sel="1" val="181"/>
</file>

<file path=xl/ctrlProps/ctrlProp202.xml><?xml version="1.0" encoding="utf-8"?>
<formControlPr xmlns="http://schemas.microsoft.com/office/spreadsheetml/2009/9/main" objectType="Drop" dropLines="20" dropStyle="combo" dx="22" fmlaLink="$C$33" fmlaRange="Cities!$C$3:$C$343" sel="1" val="183"/>
</file>

<file path=xl/ctrlProps/ctrlProp203.xml><?xml version="1.0" encoding="utf-8"?>
<formControlPr xmlns="http://schemas.microsoft.com/office/spreadsheetml/2009/9/main" objectType="Drop" dropLines="20" dropStyle="combo" dx="22" fmlaLink="$C$34" fmlaRange="Cities!$C$3:$C$343" sel="1" val="185"/>
</file>

<file path=xl/ctrlProps/ctrlProp204.xml><?xml version="1.0" encoding="utf-8"?>
<formControlPr xmlns="http://schemas.microsoft.com/office/spreadsheetml/2009/9/main" objectType="Drop" dropLines="20" dropStyle="combo" dx="22" fmlaLink="$C$35" fmlaRange="Cities!$C$3:$C$343" sel="1" val="182"/>
</file>

<file path=xl/ctrlProps/ctrlProp205.xml><?xml version="1.0" encoding="utf-8"?>
<formControlPr xmlns="http://schemas.microsoft.com/office/spreadsheetml/2009/9/main" objectType="Drop" dropLines="20" dropStyle="combo" dx="22" fmlaLink="$C$36" fmlaRange="Cities!$C$3:$C$343" sel="1" val="191"/>
</file>

<file path=xl/ctrlProps/ctrlProp206.xml><?xml version="1.0" encoding="utf-8"?>
<formControlPr xmlns="http://schemas.microsoft.com/office/spreadsheetml/2009/9/main" objectType="Drop" dropLines="20" dropStyle="combo" dx="22" fmlaLink="$C$37" fmlaRange="Cities!$C$3:$C$343" sel="1" val="184"/>
</file>

<file path=xl/ctrlProps/ctrlProp207.xml><?xml version="1.0" encoding="utf-8"?>
<formControlPr xmlns="http://schemas.microsoft.com/office/spreadsheetml/2009/9/main" objectType="Drop" dropLines="20" dropStyle="combo" dx="22" fmlaLink="$C$38" fmlaRange="Cities!$C$3:$C$343" sel="1" val="188"/>
</file>

<file path=xl/ctrlProps/ctrlProp208.xml><?xml version="1.0" encoding="utf-8"?>
<formControlPr xmlns="http://schemas.microsoft.com/office/spreadsheetml/2009/9/main" objectType="Drop" dropLines="20" dropStyle="combo" dx="22" fmlaLink="$C$39" fmlaRange="Cities!$C$3:$C$343" sel="1" val="195"/>
</file>

<file path=xl/ctrlProps/ctrlProp209.xml><?xml version="1.0" encoding="utf-8"?>
<formControlPr xmlns="http://schemas.microsoft.com/office/spreadsheetml/2009/9/main" objectType="Drop" dropLines="20" dropStyle="combo" dx="22" fmlaLink="$C$40" fmlaRange="Cities!$C$3:$C$343" sel="1" val="199"/>
</file>

<file path=xl/ctrlProps/ctrlProp210.xml><?xml version="1.0" encoding="utf-8"?>
<formControlPr xmlns="http://schemas.microsoft.com/office/spreadsheetml/2009/9/main" objectType="Drop" dropLines="20" dropStyle="combo" dx="22" fmlaLink="$C$41" fmlaRange="Cities!$C$3:$C$343" sel="1" val="187"/>
</file>

<file path=xl/ctrlProps/ctrlProp211.xml><?xml version="1.0" encoding="utf-8"?>
<formControlPr xmlns="http://schemas.microsoft.com/office/spreadsheetml/2009/9/main" objectType="Drop" dropLines="20" dropStyle="combo" dx="22" fmlaLink="$C$42" fmlaRange="Cities!$C$3:$C$343" sel="1" val="190"/>
</file>

<file path=xl/ctrlProps/ctrlProp212.xml><?xml version="1.0" encoding="utf-8"?>
<formControlPr xmlns="http://schemas.microsoft.com/office/spreadsheetml/2009/9/main" objectType="Drop" dropLines="20" dropStyle="combo" dx="22" fmlaLink="$C$43" fmlaRange="Cities!$C$3:$C$343" sel="1" val="196"/>
</file>

<file path=xl/ctrlProps/ctrlProp213.xml><?xml version="1.0" encoding="utf-8"?>
<formControlPr xmlns="http://schemas.microsoft.com/office/spreadsheetml/2009/9/main" objectType="Drop" dropLines="20" dropStyle="combo" dx="22" fmlaLink="$C$44" fmlaRange="Cities!$C$3:$C$343" sel="1" val="198"/>
</file>

<file path=xl/ctrlProps/ctrlProp214.xml><?xml version="1.0" encoding="utf-8"?>
<formControlPr xmlns="http://schemas.microsoft.com/office/spreadsheetml/2009/9/main" objectType="Drop" dropLines="20" dropStyle="combo" dx="22" fmlaLink="$C$45" fmlaRange="Cities!$C$3:$C$343" sel="1" val="200"/>
</file>

<file path=xl/ctrlProps/ctrlProp215.xml><?xml version="1.0" encoding="utf-8"?>
<formControlPr xmlns="http://schemas.microsoft.com/office/spreadsheetml/2009/9/main" objectType="Drop" dropLines="20" dropStyle="combo" dx="22" fmlaLink="$C$46" fmlaRange="Cities!$C$3:$C$343" sel="1" val="198"/>
</file>

<file path=xl/ctrlProps/ctrlProp216.xml><?xml version="1.0" encoding="utf-8"?>
<formControlPr xmlns="http://schemas.microsoft.com/office/spreadsheetml/2009/9/main" objectType="Drop" dropLines="20" dropStyle="combo" dx="22" fmlaLink="$C$47" fmlaRange="Cities!$C$3:$C$343" sel="1" val="199"/>
</file>

<file path=xl/ctrlProps/ctrlProp217.xml><?xml version="1.0" encoding="utf-8"?>
<formControlPr xmlns="http://schemas.microsoft.com/office/spreadsheetml/2009/9/main" objectType="Drop" dropLines="20" dropStyle="combo" dx="22" fmlaLink="$C$48" fmlaRange="Cities!$C$3:$C$343" sel="1" val="199"/>
</file>

<file path=xl/ctrlProps/ctrlProp218.xml><?xml version="1.0" encoding="utf-8"?>
<formControlPr xmlns="http://schemas.microsoft.com/office/spreadsheetml/2009/9/main" objectType="Drop" dropLines="20" dropStyle="combo" dx="22" fmlaLink="$C$49" fmlaRange="Cities!$C$3:$C$343" sel="1" val="201"/>
</file>

<file path=xl/ctrlProps/ctrlProp219.xml><?xml version="1.0" encoding="utf-8"?>
<formControlPr xmlns="http://schemas.microsoft.com/office/spreadsheetml/2009/9/main" objectType="Drop" dropLines="20" dropStyle="combo" dx="22" fmlaLink="$C$50" fmlaRange="Cities!$C$3:$C$343" sel="1" val="204"/>
</file>

<file path=xl/ctrlProps/ctrlProp220.xml><?xml version="1.0" encoding="utf-8"?>
<formControlPr xmlns="http://schemas.microsoft.com/office/spreadsheetml/2009/9/main" objectType="Drop" dropLines="20" dropStyle="combo" dx="22" fmlaLink="$C$51" fmlaRange="Cities!$C$3:$C$343" sel="1" val="206"/>
</file>

<file path=xl/ctrlProps/ctrlProp221.xml><?xml version="1.0" encoding="utf-8"?>
<formControlPr xmlns="http://schemas.microsoft.com/office/spreadsheetml/2009/9/main" objectType="Drop" dropLines="20" dropStyle="combo" dx="22" fmlaLink="$C$52" fmlaRange="Cities!$C$3:$C$343" sel="1" val="206"/>
</file>

<file path=xl/ctrlProps/ctrlProp222.xml><?xml version="1.0" encoding="utf-8"?>
<formControlPr xmlns="http://schemas.microsoft.com/office/spreadsheetml/2009/9/main" objectType="Drop" dropLines="20" dropStyle="combo" dx="22" fmlaLink="$C$53" fmlaRange="Cities!$C$3:$C$343" sel="1" val="207"/>
</file>

<file path=xl/ctrlProps/ctrlProp223.xml><?xml version="1.0" encoding="utf-8"?>
<formControlPr xmlns="http://schemas.microsoft.com/office/spreadsheetml/2009/9/main" objectType="Drop" dropLines="20" dropStyle="combo" dx="22" fmlaLink="$C$54" fmlaRange="Cities!$C$3:$C$343" sel="1" val="212"/>
</file>

<file path=xl/ctrlProps/ctrlProp224.xml><?xml version="1.0" encoding="utf-8"?>
<formControlPr xmlns="http://schemas.microsoft.com/office/spreadsheetml/2009/9/main" objectType="Drop" dropLines="20" dropStyle="combo" dx="22" fmlaLink="$C$55" fmlaRange="Cities!$C$3:$C$343" sel="1" val="218"/>
</file>

<file path=xl/ctrlProps/ctrlProp225.xml><?xml version="1.0" encoding="utf-8"?>
<formControlPr xmlns="http://schemas.microsoft.com/office/spreadsheetml/2009/9/main" objectType="Drop" dropLines="20" dropStyle="combo" dx="22" fmlaLink="$C$56" fmlaRange="Cities!$C$3:$C$343" sel="1" val="221"/>
</file>

<file path=xl/ctrlProps/ctrlProp226.xml><?xml version="1.0" encoding="utf-8"?>
<formControlPr xmlns="http://schemas.microsoft.com/office/spreadsheetml/2009/9/main" objectType="CheckBox" fmlaLink="Data!D$33" lockText="1" noThreeD="1"/>
</file>

<file path=xl/ctrlProps/ctrlProp227.xml><?xml version="1.0" encoding="utf-8"?>
<formControlPr xmlns="http://schemas.microsoft.com/office/spreadsheetml/2009/9/main" objectType="Drop" dropLines="20" dropStyle="combo" dx="22" fmlaLink="$C$12" fmlaRange="Cities!$C$3:$C$343" sel="1" val="0"/>
</file>

<file path=xl/ctrlProps/ctrlProp228.xml><?xml version="1.0" encoding="utf-8"?>
<formControlPr xmlns="http://schemas.microsoft.com/office/spreadsheetml/2009/9/main" objectType="Drop" dropLines="20" dropStyle="combo" dx="22" fmlaLink="$C$13" fmlaRange="Cities!$C$3:$C$343" sel="1" val="222"/>
</file>

<file path=xl/ctrlProps/ctrlProp229.xml><?xml version="1.0" encoding="utf-8"?>
<formControlPr xmlns="http://schemas.microsoft.com/office/spreadsheetml/2009/9/main" objectType="Drop" dropLines="20" dropStyle="combo" dx="22" fmlaLink="$C$14" fmlaRange="Cities!$C$3:$C$343" sel="1" val="218"/>
</file>

<file path=xl/ctrlProps/ctrlProp230.xml><?xml version="1.0" encoding="utf-8"?>
<formControlPr xmlns="http://schemas.microsoft.com/office/spreadsheetml/2009/9/main" objectType="Drop" dropLines="20" dropStyle="combo" dx="22" fmlaLink="$C$15" fmlaRange="Cities!$C$3:$C$343" sel="1" val="225"/>
</file>

<file path=xl/ctrlProps/ctrlProp231.xml><?xml version="1.0" encoding="utf-8"?>
<formControlPr xmlns="http://schemas.microsoft.com/office/spreadsheetml/2009/9/main" objectType="Drop" dropLines="20" dropStyle="combo" dx="22" fmlaLink="$C$16" fmlaRange="Cities!$C$3:$C$343" sel="1" val="226"/>
</file>

<file path=xl/ctrlProps/ctrlProp232.xml><?xml version="1.0" encoding="utf-8"?>
<formControlPr xmlns="http://schemas.microsoft.com/office/spreadsheetml/2009/9/main" objectType="Drop" dropLines="20" dropStyle="combo" dx="22" fmlaLink="$C$17" fmlaRange="Cities!$C$3:$C$343" sel="1" val="214"/>
</file>

<file path=xl/ctrlProps/ctrlProp233.xml><?xml version="1.0" encoding="utf-8"?>
<formControlPr xmlns="http://schemas.microsoft.com/office/spreadsheetml/2009/9/main" objectType="Drop" dropLines="20" dropStyle="combo" dx="22" fmlaLink="$C$18" fmlaRange="Cities!$C$3:$C$343" sel="1" val="221"/>
</file>

<file path=xl/ctrlProps/ctrlProp234.xml><?xml version="1.0" encoding="utf-8"?>
<formControlPr xmlns="http://schemas.microsoft.com/office/spreadsheetml/2009/9/main" objectType="Drop" dropLines="20" dropStyle="combo" dx="22" fmlaLink="$C$19" fmlaRange="Cities!$C$3:$C$343" sel="1" val="229"/>
</file>

<file path=xl/ctrlProps/ctrlProp235.xml><?xml version="1.0" encoding="utf-8"?>
<formControlPr xmlns="http://schemas.microsoft.com/office/spreadsheetml/2009/9/main" objectType="Drop" dropLines="20" dropStyle="combo" dx="22" fmlaLink="$C$20" fmlaRange="Cities!$C$3:$C$343" sel="1" val="220"/>
</file>

<file path=xl/ctrlProps/ctrlProp236.xml><?xml version="1.0" encoding="utf-8"?>
<formControlPr xmlns="http://schemas.microsoft.com/office/spreadsheetml/2009/9/main" objectType="Drop" dropLines="20" dropStyle="combo" dx="22" fmlaLink="$C$21" fmlaRange="Cities!$C$3:$C$343" sel="1" val="221"/>
</file>

<file path=xl/ctrlProps/ctrlProp237.xml><?xml version="1.0" encoding="utf-8"?>
<formControlPr xmlns="http://schemas.microsoft.com/office/spreadsheetml/2009/9/main" objectType="Drop" dropLines="20" dropStyle="combo" dx="22" fmlaLink="$C$22" fmlaRange="Cities!$C$3:$C$343" sel="1" val="226"/>
</file>

<file path=xl/ctrlProps/ctrlProp238.xml><?xml version="1.0" encoding="utf-8"?>
<formControlPr xmlns="http://schemas.microsoft.com/office/spreadsheetml/2009/9/main" objectType="Drop" dropLines="20" dropStyle="combo" dx="22" fmlaLink="$C$23" fmlaRange="Cities!$C$3:$C$343" sel="1" val="231"/>
</file>

<file path=xl/ctrlProps/ctrlProp239.xml><?xml version="1.0" encoding="utf-8"?>
<formControlPr xmlns="http://schemas.microsoft.com/office/spreadsheetml/2009/9/main" objectType="Drop" dropLines="20" dropStyle="combo" dx="22" fmlaLink="$C$24" fmlaRange="Cities!$C$3:$C$343" sel="1" val="231"/>
</file>

<file path=xl/ctrlProps/ctrlProp240.xml><?xml version="1.0" encoding="utf-8"?>
<formControlPr xmlns="http://schemas.microsoft.com/office/spreadsheetml/2009/9/main" objectType="Drop" dropLines="20" dropStyle="combo" dx="22" fmlaLink="$C$25" fmlaRange="Cities!$C$3:$C$343" sel="1" val="238"/>
</file>

<file path=xl/ctrlProps/ctrlProp241.xml><?xml version="1.0" encoding="utf-8"?>
<formControlPr xmlns="http://schemas.microsoft.com/office/spreadsheetml/2009/9/main" objectType="Drop" dropLines="20" dropStyle="combo" dx="22" fmlaLink="$C$26" fmlaRange="Cities!$C$3:$C$343" sel="1" val="237"/>
</file>

<file path=xl/ctrlProps/ctrlProp242.xml><?xml version="1.0" encoding="utf-8"?>
<formControlPr xmlns="http://schemas.microsoft.com/office/spreadsheetml/2009/9/main" objectType="Drop" dropLines="20" dropStyle="combo" dx="22" fmlaLink="$C$27" fmlaRange="Cities!$C$3:$C$343" sel="1" val="231"/>
</file>

<file path=xl/ctrlProps/ctrlProp243.xml><?xml version="1.0" encoding="utf-8"?>
<formControlPr xmlns="http://schemas.microsoft.com/office/spreadsheetml/2009/9/main" objectType="Drop" dropLines="20" dropStyle="combo" dx="22" fmlaLink="$C$28" fmlaRange="Cities!$C$3:$C$343" sel="1" val="237"/>
</file>

<file path=xl/ctrlProps/ctrlProp244.xml><?xml version="1.0" encoding="utf-8"?>
<formControlPr xmlns="http://schemas.microsoft.com/office/spreadsheetml/2009/9/main" objectType="Drop" dropLines="20" dropStyle="combo" dx="22" fmlaLink="$C$29" fmlaRange="Cities!$C$3:$C$343" sel="1" val="229"/>
</file>

<file path=xl/ctrlProps/ctrlProp245.xml><?xml version="1.0" encoding="utf-8"?>
<formControlPr xmlns="http://schemas.microsoft.com/office/spreadsheetml/2009/9/main" objectType="Drop" dropLines="20" dropStyle="combo" dx="22" fmlaLink="$C$30" fmlaRange="Cities!$C$3:$C$343" sel="1" val="232"/>
</file>

<file path=xl/ctrlProps/ctrlProp246.xml><?xml version="1.0" encoding="utf-8"?>
<formControlPr xmlns="http://schemas.microsoft.com/office/spreadsheetml/2009/9/main" objectType="Drop" dropLines="20" dropStyle="combo" dx="22" fmlaLink="$C$31" fmlaRange="Cities!$C$3:$C$343" sel="1" val="237"/>
</file>

<file path=xl/ctrlProps/ctrlProp247.xml><?xml version="1.0" encoding="utf-8"?>
<formControlPr xmlns="http://schemas.microsoft.com/office/spreadsheetml/2009/9/main" objectType="Drop" dropLines="20" dropStyle="combo" dx="22" fmlaLink="$C$32" fmlaRange="Cities!$C$3:$C$343" sel="1" val="234"/>
</file>

<file path=xl/ctrlProps/ctrlProp248.xml><?xml version="1.0" encoding="utf-8"?>
<formControlPr xmlns="http://schemas.microsoft.com/office/spreadsheetml/2009/9/main" objectType="Drop" dropLines="20" dropStyle="combo" dx="22" fmlaLink="$C$33" fmlaRange="Cities!$C$3:$C$343" sel="1" val="229"/>
</file>

<file path=xl/ctrlProps/ctrlProp249.xml><?xml version="1.0" encoding="utf-8"?>
<formControlPr xmlns="http://schemas.microsoft.com/office/spreadsheetml/2009/9/main" objectType="Drop" dropLines="20" dropStyle="combo" dx="22" fmlaLink="$C$34" fmlaRange="Cities!$C$3:$C$343" sel="1" val="239"/>
</file>

<file path=xl/ctrlProps/ctrlProp250.xml><?xml version="1.0" encoding="utf-8"?>
<formControlPr xmlns="http://schemas.microsoft.com/office/spreadsheetml/2009/9/main" objectType="Drop" dropLines="20" dropStyle="combo" dx="22" fmlaLink="$C$35" fmlaRange="Cities!$C$3:$C$343" sel="1" val="236"/>
</file>

<file path=xl/ctrlProps/ctrlProp251.xml><?xml version="1.0" encoding="utf-8"?>
<formControlPr xmlns="http://schemas.microsoft.com/office/spreadsheetml/2009/9/main" objectType="Drop" dropLines="20" dropStyle="combo" dx="22" fmlaLink="$C$36" fmlaRange="Cities!$C$3:$C$343" sel="1" val="250"/>
</file>

<file path=xl/ctrlProps/ctrlProp252.xml><?xml version="1.0" encoding="utf-8"?>
<formControlPr xmlns="http://schemas.microsoft.com/office/spreadsheetml/2009/9/main" objectType="Drop" dropLines="20" dropStyle="combo" dx="22" fmlaLink="$C$37" fmlaRange="Cities!$C$3:$C$343" sel="1" val="240"/>
</file>

<file path=xl/ctrlProps/ctrlProp253.xml><?xml version="1.0" encoding="utf-8"?>
<formControlPr xmlns="http://schemas.microsoft.com/office/spreadsheetml/2009/9/main" objectType="Drop" dropLines="20" dropStyle="combo" dx="22" fmlaLink="$C$38" fmlaRange="Cities!$C$3:$C$343" sel="1" val="245"/>
</file>

<file path=xl/ctrlProps/ctrlProp254.xml><?xml version="1.0" encoding="utf-8"?>
<formControlPr xmlns="http://schemas.microsoft.com/office/spreadsheetml/2009/9/main" objectType="Drop" dropLines="20" dropStyle="combo" dx="22" fmlaLink="$C$39" fmlaRange="Cities!$C$3:$C$343" sel="1" val="251"/>
</file>

<file path=xl/ctrlProps/ctrlProp255.xml><?xml version="1.0" encoding="utf-8"?>
<formControlPr xmlns="http://schemas.microsoft.com/office/spreadsheetml/2009/9/main" objectType="Drop" dropLines="20" dropStyle="combo" dx="22" fmlaLink="$C$40" fmlaRange="Cities!$C$3:$C$343" sel="1" val="242"/>
</file>

<file path=xl/ctrlProps/ctrlProp256.xml><?xml version="1.0" encoding="utf-8"?>
<formControlPr xmlns="http://schemas.microsoft.com/office/spreadsheetml/2009/9/main" objectType="Drop" dropLines="20" dropStyle="combo" dx="22" fmlaLink="$C$41" fmlaRange="Cities!$C$3:$C$343" sel="1" val="245"/>
</file>

<file path=xl/ctrlProps/ctrlProp257.xml><?xml version="1.0" encoding="utf-8"?>
<formControlPr xmlns="http://schemas.microsoft.com/office/spreadsheetml/2009/9/main" objectType="Drop" dropLines="20" dropStyle="combo" dx="22" fmlaLink="$C$42" fmlaRange="Cities!$C$3:$C$343" sel="1" val="239"/>
</file>

<file path=xl/ctrlProps/ctrlProp258.xml><?xml version="1.0" encoding="utf-8"?>
<formControlPr xmlns="http://schemas.microsoft.com/office/spreadsheetml/2009/9/main" objectType="Drop" dropLines="20" dropStyle="combo" dx="22" fmlaLink="$C$43" fmlaRange="Cities!$C$3:$C$343" sel="1" val="242"/>
</file>

<file path=xl/ctrlProps/ctrlProp259.xml><?xml version="1.0" encoding="utf-8"?>
<formControlPr xmlns="http://schemas.microsoft.com/office/spreadsheetml/2009/9/main" objectType="Drop" dropLines="20" dropStyle="combo" dx="22" fmlaLink="$C$44" fmlaRange="Cities!$C$3:$C$343" sel="1" val="248"/>
</file>

<file path=xl/ctrlProps/ctrlProp260.xml><?xml version="1.0" encoding="utf-8"?>
<formControlPr xmlns="http://schemas.microsoft.com/office/spreadsheetml/2009/9/main" objectType="Drop" dropLines="20" dropStyle="combo" dx="22" fmlaLink="$C$45" fmlaRange="Cities!$C$3:$C$343" sel="1" val="249"/>
</file>

<file path=xl/ctrlProps/ctrlProp261.xml><?xml version="1.0" encoding="utf-8"?>
<formControlPr xmlns="http://schemas.microsoft.com/office/spreadsheetml/2009/9/main" objectType="Drop" dropLines="20" dropStyle="combo" dx="22" fmlaLink="$C$46" fmlaRange="Cities!$C$3:$C$343" sel="1" val="251"/>
</file>

<file path=xl/ctrlProps/ctrlProp262.xml><?xml version="1.0" encoding="utf-8"?>
<formControlPr xmlns="http://schemas.microsoft.com/office/spreadsheetml/2009/9/main" objectType="Drop" dropLines="20" dropStyle="combo" dx="22" fmlaLink="$C$47" fmlaRange="Cities!$C$3:$C$343" sel="1" val="250"/>
</file>

<file path=xl/ctrlProps/ctrlProp263.xml><?xml version="1.0" encoding="utf-8"?>
<formControlPr xmlns="http://schemas.microsoft.com/office/spreadsheetml/2009/9/main" objectType="Drop" dropLines="20" dropStyle="combo" dx="22" fmlaLink="$C$48" fmlaRange="Cities!$C$3:$C$343" sel="1" val="250"/>
</file>

<file path=xl/ctrlProps/ctrlProp264.xml><?xml version="1.0" encoding="utf-8"?>
<formControlPr xmlns="http://schemas.microsoft.com/office/spreadsheetml/2009/9/main" objectType="Drop" dropLines="20" dropStyle="combo" dx="22" fmlaLink="$C$49" fmlaRange="Cities!$C$3:$C$343" sel="1" val="258"/>
</file>

<file path=xl/ctrlProps/ctrlProp265.xml><?xml version="1.0" encoding="utf-8"?>
<formControlPr xmlns="http://schemas.microsoft.com/office/spreadsheetml/2009/9/main" objectType="Drop" dropLines="20" dropStyle="combo" dx="22" fmlaLink="$C$50" fmlaRange="Cities!$C$3:$C$343" sel="1" val="253"/>
</file>

<file path=xl/ctrlProps/ctrlProp266.xml><?xml version="1.0" encoding="utf-8"?>
<formControlPr xmlns="http://schemas.microsoft.com/office/spreadsheetml/2009/9/main" objectType="Drop" dropLines="20" dropStyle="combo" dx="22" fmlaLink="$C$51" fmlaRange="Cities!$C$3:$C$343" sel="1" val="251"/>
</file>

<file path=xl/ctrlProps/ctrlProp267.xml><?xml version="1.0" encoding="utf-8"?>
<formControlPr xmlns="http://schemas.microsoft.com/office/spreadsheetml/2009/9/main" objectType="Drop" dropLines="20" dropStyle="combo" dx="22" fmlaLink="$C$52" fmlaRange="Cities!$C$3:$C$343" sel="1" val="258"/>
</file>

<file path=xl/ctrlProps/ctrlProp268.xml><?xml version="1.0" encoding="utf-8"?>
<formControlPr xmlns="http://schemas.microsoft.com/office/spreadsheetml/2009/9/main" objectType="Drop" dropLines="20" dropStyle="combo" dx="22" fmlaLink="$C$53" fmlaRange="Cities!$C$3:$C$343" sel="1" val="256"/>
</file>

<file path=xl/ctrlProps/ctrlProp269.xml><?xml version="1.0" encoding="utf-8"?>
<formControlPr xmlns="http://schemas.microsoft.com/office/spreadsheetml/2009/9/main" objectType="Drop" dropLines="20" dropStyle="combo" dx="22" fmlaLink="$C$54" fmlaRange="Cities!$C$3:$C$343" sel="1" val="256"/>
</file>

<file path=xl/ctrlProps/ctrlProp270.xml><?xml version="1.0" encoding="utf-8"?>
<formControlPr xmlns="http://schemas.microsoft.com/office/spreadsheetml/2009/9/main" objectType="Drop" dropLines="20" dropStyle="combo" dx="22" fmlaLink="$C$55" fmlaRange="Cities!$C$3:$C$343" sel="1" val="259"/>
</file>

<file path=xl/ctrlProps/ctrlProp271.xml><?xml version="1.0" encoding="utf-8"?>
<formControlPr xmlns="http://schemas.microsoft.com/office/spreadsheetml/2009/9/main" objectType="Drop" dropLines="20" dropStyle="combo" dx="22" fmlaLink="$C$56" fmlaRange="Cities!$C$3:$C$343" sel="1" val="264"/>
</file>

<file path=xl/ctrlProps/ctrlProp272.xml><?xml version="1.0" encoding="utf-8"?>
<formControlPr xmlns="http://schemas.microsoft.com/office/spreadsheetml/2009/9/main" objectType="CheckBox" fmlaLink="Data!D$33" lockText="1" noThreeD="1"/>
</file>

<file path=xl/ctrlProps/ctrlProp273.xml><?xml version="1.0" encoding="utf-8"?>
<formControlPr xmlns="http://schemas.microsoft.com/office/spreadsheetml/2009/9/main" objectType="Drop" dropLines="20" dropStyle="combo" dx="22" fmlaLink="$C$12" fmlaRange="Cities!$C$3:$C$343" sel="1" val="0"/>
</file>

<file path=xl/ctrlProps/ctrlProp274.xml><?xml version="1.0" encoding="utf-8"?>
<formControlPr xmlns="http://schemas.microsoft.com/office/spreadsheetml/2009/9/main" objectType="Drop" dropLines="20" dropStyle="combo" dx="22" fmlaLink="$C$13" fmlaRange="Cities!$C$3:$C$343" sel="1" val="256"/>
</file>

<file path=xl/ctrlProps/ctrlProp275.xml><?xml version="1.0" encoding="utf-8"?>
<formControlPr xmlns="http://schemas.microsoft.com/office/spreadsheetml/2009/9/main" objectType="Drop" dropLines="20" dropStyle="combo" dx="22" fmlaLink="$C$14" fmlaRange="Cities!$C$3:$C$343" sel="1" val="258"/>
</file>

<file path=xl/ctrlProps/ctrlProp276.xml><?xml version="1.0" encoding="utf-8"?>
<formControlPr xmlns="http://schemas.microsoft.com/office/spreadsheetml/2009/9/main" objectType="Drop" dropLines="20" dropStyle="combo" dx="22" fmlaLink="$C$15" fmlaRange="Cities!$C$3:$C$343" sel="1" val="276"/>
</file>

<file path=xl/ctrlProps/ctrlProp277.xml><?xml version="1.0" encoding="utf-8"?>
<formControlPr xmlns="http://schemas.microsoft.com/office/spreadsheetml/2009/9/main" objectType="Drop" dropLines="20" dropStyle="combo" dx="22" fmlaLink="$C$16" fmlaRange="Cities!$C$3:$C$343" sel="1" val="276"/>
</file>

<file path=xl/ctrlProps/ctrlProp278.xml><?xml version="1.0" encoding="utf-8"?>
<formControlPr xmlns="http://schemas.microsoft.com/office/spreadsheetml/2009/9/main" objectType="Drop" dropLines="20" dropStyle="combo" dx="22" fmlaLink="$C$17" fmlaRange="Cities!$C$3:$C$343" sel="1" val="278"/>
</file>

<file path=xl/ctrlProps/ctrlProp279.xml><?xml version="1.0" encoding="utf-8"?>
<formControlPr xmlns="http://schemas.microsoft.com/office/spreadsheetml/2009/9/main" objectType="Drop" dropLines="20" dropStyle="combo" dx="22" fmlaLink="$C$18" fmlaRange="Cities!$C$3:$C$343" sel="1" val="280"/>
</file>

<file path=xl/ctrlProps/ctrlProp280.xml><?xml version="1.0" encoding="utf-8"?>
<formControlPr xmlns="http://schemas.microsoft.com/office/spreadsheetml/2009/9/main" objectType="Drop" dropLines="20" dropStyle="combo" dx="22" fmlaLink="$C$19" fmlaRange="Cities!$C$3:$C$343" sel="1" val="281"/>
</file>

<file path=xl/ctrlProps/ctrlProp281.xml><?xml version="1.0" encoding="utf-8"?>
<formControlPr xmlns="http://schemas.microsoft.com/office/spreadsheetml/2009/9/main" objectType="Drop" dropLines="20" dropStyle="combo" dx="22" fmlaLink="$C$20" fmlaRange="Cities!$C$3:$C$343" sel="1" val="281"/>
</file>

<file path=xl/ctrlProps/ctrlProp282.xml><?xml version="1.0" encoding="utf-8"?>
<formControlPr xmlns="http://schemas.microsoft.com/office/spreadsheetml/2009/9/main" objectType="Drop" dropLines="20" dropStyle="combo" dx="22" fmlaLink="$C$21" fmlaRange="Cities!$C$3:$C$343" sel="1" val="284"/>
</file>

<file path=xl/ctrlProps/ctrlProp283.xml><?xml version="1.0" encoding="utf-8"?>
<formControlPr xmlns="http://schemas.microsoft.com/office/spreadsheetml/2009/9/main" objectType="Drop" dropLines="20" dropStyle="combo" dx="22" fmlaLink="$C$22" fmlaRange="Cities!$C$3:$C$343" sel="1" val="285"/>
</file>

<file path=xl/ctrlProps/ctrlProp284.xml><?xml version="1.0" encoding="utf-8"?>
<formControlPr xmlns="http://schemas.microsoft.com/office/spreadsheetml/2009/9/main" objectType="Drop" dropLines="20" dropStyle="combo" dx="22" fmlaLink="$C$23" fmlaRange="Cities!$C$3:$C$343" sel="1" val="287"/>
</file>

<file path=xl/ctrlProps/ctrlProp285.xml><?xml version="1.0" encoding="utf-8"?>
<formControlPr xmlns="http://schemas.microsoft.com/office/spreadsheetml/2009/9/main" objectType="Drop" dropLines="20" dropStyle="combo" dx="22" fmlaLink="$C$24" fmlaRange="Cities!$C$3:$C$343" sel="1" val="289"/>
</file>

<file path=xl/ctrlProps/ctrlProp286.xml><?xml version="1.0" encoding="utf-8"?>
<formControlPr xmlns="http://schemas.microsoft.com/office/spreadsheetml/2009/9/main" objectType="Drop" dropLines="20" dropStyle="combo" dx="22" fmlaLink="$C$25" fmlaRange="Cities!$C$3:$C$343" sel="1" val="290"/>
</file>

<file path=xl/ctrlProps/ctrlProp287.xml><?xml version="1.0" encoding="utf-8"?>
<formControlPr xmlns="http://schemas.microsoft.com/office/spreadsheetml/2009/9/main" objectType="Drop" dropLines="20" dropStyle="combo" dx="22" fmlaLink="$C$26" fmlaRange="Cities!$C$3:$C$343" sel="1" val="291"/>
</file>

<file path=xl/ctrlProps/ctrlProp288.xml><?xml version="1.0" encoding="utf-8"?>
<formControlPr xmlns="http://schemas.microsoft.com/office/spreadsheetml/2009/9/main" objectType="Drop" dropLines="20" dropStyle="combo" dx="22" fmlaLink="$C$27" fmlaRange="Cities!$C$3:$C$343" sel="1" val="292"/>
</file>

<file path=xl/ctrlProps/ctrlProp289.xml><?xml version="1.0" encoding="utf-8"?>
<formControlPr xmlns="http://schemas.microsoft.com/office/spreadsheetml/2009/9/main" objectType="Drop" dropLines="20" dropStyle="combo" dx="22" fmlaLink="$C$28" fmlaRange="Cities!$C$3:$C$343" sel="1" val="293"/>
</file>

<file path=xl/ctrlProps/ctrlProp290.xml><?xml version="1.0" encoding="utf-8"?>
<formControlPr xmlns="http://schemas.microsoft.com/office/spreadsheetml/2009/9/main" objectType="Drop" dropLines="20" dropStyle="combo" dx="22" fmlaLink="$C$29" fmlaRange="Cities!$C$3:$C$343" sel="1" val="294"/>
</file>

<file path=xl/ctrlProps/ctrlProp291.xml><?xml version="1.0" encoding="utf-8"?>
<formControlPr xmlns="http://schemas.microsoft.com/office/spreadsheetml/2009/9/main" objectType="Drop" dropLines="20" dropStyle="combo" dx="22" fmlaLink="$C$30" fmlaRange="Cities!$C$3:$C$343" sel="1" val="295"/>
</file>

<file path=xl/ctrlProps/ctrlProp292.xml><?xml version="1.0" encoding="utf-8"?>
<formControlPr xmlns="http://schemas.microsoft.com/office/spreadsheetml/2009/9/main" objectType="Drop" dropLines="20" dropStyle="combo" dx="22" fmlaLink="$C$31" fmlaRange="Cities!$C$3:$C$343" sel="1" val="296"/>
</file>

<file path=xl/ctrlProps/ctrlProp293.xml><?xml version="1.0" encoding="utf-8"?>
<formControlPr xmlns="http://schemas.microsoft.com/office/spreadsheetml/2009/9/main" objectType="Drop" dropLines="20" dropStyle="combo" dx="22" fmlaLink="$C$32" fmlaRange="Cities!$C$3:$C$343" sel="1" val="297"/>
</file>

<file path=xl/ctrlProps/ctrlProp294.xml><?xml version="1.0" encoding="utf-8"?>
<formControlPr xmlns="http://schemas.microsoft.com/office/spreadsheetml/2009/9/main" objectType="Drop" dropLines="20" dropStyle="combo" dx="22" fmlaLink="$C$33" fmlaRange="Cities!$C$3:$C$343" sel="1" val="298"/>
</file>

<file path=xl/ctrlProps/ctrlProp295.xml><?xml version="1.0" encoding="utf-8"?>
<formControlPr xmlns="http://schemas.microsoft.com/office/spreadsheetml/2009/9/main" objectType="Drop" dropLines="20" dropStyle="combo" dx="22" fmlaLink="$C$34" fmlaRange="Cities!$C$3:$C$343" sel="1" val="299"/>
</file>

<file path=xl/ctrlProps/ctrlProp296.xml><?xml version="1.0" encoding="utf-8"?>
<formControlPr xmlns="http://schemas.microsoft.com/office/spreadsheetml/2009/9/main" objectType="Drop" dropLines="20" dropStyle="combo" dx="22" fmlaLink="$C$35" fmlaRange="Cities!$C$3:$C$343" sel="1" val="300"/>
</file>

<file path=xl/ctrlProps/ctrlProp297.xml><?xml version="1.0" encoding="utf-8"?>
<formControlPr xmlns="http://schemas.microsoft.com/office/spreadsheetml/2009/9/main" objectType="Drop" dropLines="20" dropStyle="combo" dx="22" fmlaLink="$C$36" fmlaRange="Cities!$C$3:$C$343" sel="1" val="301"/>
</file>

<file path=xl/ctrlProps/ctrlProp298.xml><?xml version="1.0" encoding="utf-8"?>
<formControlPr xmlns="http://schemas.microsoft.com/office/spreadsheetml/2009/9/main" objectType="Drop" dropLines="20" dropStyle="combo" dx="22" fmlaLink="$C$37" fmlaRange="Cities!$C$3:$C$343" sel="1" val="302"/>
</file>

<file path=xl/ctrlProps/ctrlProp299.xml><?xml version="1.0" encoding="utf-8"?>
<formControlPr xmlns="http://schemas.microsoft.com/office/spreadsheetml/2009/9/main" objectType="Drop" dropLines="20" dropStyle="combo" dx="22" fmlaLink="$C$38" fmlaRange="Cities!$C$3:$C$343" sel="1" val="303"/>
</file>

<file path=xl/ctrlProps/ctrlProp300.xml><?xml version="1.0" encoding="utf-8"?>
<formControlPr xmlns="http://schemas.microsoft.com/office/spreadsheetml/2009/9/main" objectType="Drop" dropLines="20" dropStyle="combo" dx="22" fmlaLink="$C$39" fmlaRange="Cities!$C$3:$C$343" sel="1" val="304"/>
</file>

<file path=xl/ctrlProps/ctrlProp301.xml><?xml version="1.0" encoding="utf-8"?>
<formControlPr xmlns="http://schemas.microsoft.com/office/spreadsheetml/2009/9/main" objectType="Drop" dropLines="20" dropStyle="combo" dx="22" fmlaLink="$C$40" fmlaRange="Cities!$C$3:$C$343" sel="1" val="305"/>
</file>

<file path=xl/ctrlProps/ctrlProp302.xml><?xml version="1.0" encoding="utf-8"?>
<formControlPr xmlns="http://schemas.microsoft.com/office/spreadsheetml/2009/9/main" objectType="Drop" dropLines="20" dropStyle="combo" dx="22" fmlaLink="$C$41" fmlaRange="Cities!$C$3:$C$343" sel="1" val="306"/>
</file>

<file path=xl/ctrlProps/ctrlProp303.xml><?xml version="1.0" encoding="utf-8"?>
<formControlPr xmlns="http://schemas.microsoft.com/office/spreadsheetml/2009/9/main" objectType="Drop" dropLines="20" dropStyle="combo" dx="22" fmlaLink="$C$42" fmlaRange="Cities!$C$3:$C$343" sel="1" val="307"/>
</file>

<file path=xl/ctrlProps/ctrlProp304.xml><?xml version="1.0" encoding="utf-8"?>
<formControlPr xmlns="http://schemas.microsoft.com/office/spreadsheetml/2009/9/main" objectType="Drop" dropLines="20" dropStyle="combo" dx="22" fmlaLink="$C$43" fmlaRange="Cities!$C$3:$C$343" sel="1" val="308"/>
</file>

<file path=xl/ctrlProps/ctrlProp305.xml><?xml version="1.0" encoding="utf-8"?>
<formControlPr xmlns="http://schemas.microsoft.com/office/spreadsheetml/2009/9/main" objectType="Drop" dropLines="20" dropStyle="combo" dx="22" fmlaLink="$C$44" fmlaRange="Cities!$C$3:$C$343" sel="1" val="309"/>
</file>

<file path=xl/ctrlProps/ctrlProp306.xml><?xml version="1.0" encoding="utf-8"?>
<formControlPr xmlns="http://schemas.microsoft.com/office/spreadsheetml/2009/9/main" objectType="Drop" dropLines="20" dropStyle="combo" dx="22" fmlaLink="$C$45" fmlaRange="Cities!$C$3:$C$343" sel="1" val="310"/>
</file>

<file path=xl/ctrlProps/ctrlProp307.xml><?xml version="1.0" encoding="utf-8"?>
<formControlPr xmlns="http://schemas.microsoft.com/office/spreadsheetml/2009/9/main" objectType="Drop" dropLines="20" dropStyle="combo" dx="22" fmlaLink="$C$46" fmlaRange="Cities!$C$3:$C$343" sel="1" val="311"/>
</file>

<file path=xl/ctrlProps/ctrlProp308.xml><?xml version="1.0" encoding="utf-8"?>
<formControlPr xmlns="http://schemas.microsoft.com/office/spreadsheetml/2009/9/main" objectType="Drop" dropLines="20" dropStyle="combo" dx="22" fmlaLink="$C$47" fmlaRange="Cities!$C$3:$C$343" sel="1" val="312"/>
</file>

<file path=xl/ctrlProps/ctrlProp309.xml><?xml version="1.0" encoding="utf-8"?>
<formControlPr xmlns="http://schemas.microsoft.com/office/spreadsheetml/2009/9/main" objectType="Drop" dropLines="20" dropStyle="combo" dx="22" fmlaLink="$C$48" fmlaRange="Cities!$C$3:$C$343" sel="1" val="313"/>
</file>

<file path=xl/ctrlProps/ctrlProp310.xml><?xml version="1.0" encoding="utf-8"?>
<formControlPr xmlns="http://schemas.microsoft.com/office/spreadsheetml/2009/9/main" objectType="Drop" dropLines="20" dropStyle="combo" dx="22" fmlaLink="$C$49" fmlaRange="Cities!$C$3:$C$343" sel="1" val="315"/>
</file>

<file path=xl/ctrlProps/ctrlProp311.xml><?xml version="1.0" encoding="utf-8"?>
<formControlPr xmlns="http://schemas.microsoft.com/office/spreadsheetml/2009/9/main" objectType="Drop" dropLines="20" dropStyle="combo" dx="22" fmlaLink="$C$50" fmlaRange="Cities!$C$3:$C$343" sel="1" val="316"/>
</file>

<file path=xl/ctrlProps/ctrlProp312.xml><?xml version="1.0" encoding="utf-8"?>
<formControlPr xmlns="http://schemas.microsoft.com/office/spreadsheetml/2009/9/main" objectType="Drop" dropLines="20" dropStyle="combo" dx="22" fmlaLink="$C$51" fmlaRange="Cities!$C$3:$C$343" sel="1" val="317"/>
</file>

<file path=xl/ctrlProps/ctrlProp313.xml><?xml version="1.0" encoding="utf-8"?>
<formControlPr xmlns="http://schemas.microsoft.com/office/spreadsheetml/2009/9/main" objectType="Drop" dropLines="20" dropStyle="combo" dx="22" fmlaLink="$C$52" fmlaRange="Cities!$C$3:$C$343" sel="1" val="318"/>
</file>

<file path=xl/ctrlProps/ctrlProp314.xml><?xml version="1.0" encoding="utf-8"?>
<formControlPr xmlns="http://schemas.microsoft.com/office/spreadsheetml/2009/9/main" objectType="Drop" dropLines="20" dropStyle="combo" dx="22" fmlaLink="$C$53" fmlaRange="Cities!$C$3:$C$343" sel="1" val="317"/>
</file>

<file path=xl/ctrlProps/ctrlProp315.xml><?xml version="1.0" encoding="utf-8"?>
<formControlPr xmlns="http://schemas.microsoft.com/office/spreadsheetml/2009/9/main" objectType="Drop" dropLines="20" dropStyle="combo" dx="22" fmlaLink="$C$54" fmlaRange="Cities!$C$3:$C$343" sel="1" val="321"/>
</file>

<file path=xl/ctrlProps/ctrlProp316.xml><?xml version="1.0" encoding="utf-8"?>
<formControlPr xmlns="http://schemas.microsoft.com/office/spreadsheetml/2009/9/main" objectType="Drop" dropLines="20" dropStyle="combo" dx="22" fmlaLink="$C$55" fmlaRange="Cities!$C$3:$C$343" sel="1" val="321"/>
</file>

<file path=xl/ctrlProps/ctrlProp317.xml><?xml version="1.0" encoding="utf-8"?>
<formControlPr xmlns="http://schemas.microsoft.com/office/spreadsheetml/2009/9/main" objectType="Drop" dropLines="20" dropStyle="combo" dx="22" fmlaLink="$C$56" fmlaRange="Cities!$C$3:$C$343" sel="1" val="321"/>
</file>

<file path=xl/ctrlProps/ctrlProp318.xml><?xml version="1.0" encoding="utf-8"?>
<formControlPr xmlns="http://schemas.microsoft.com/office/spreadsheetml/2009/9/main" objectType="CheckBox" fmlaLink="Data!D$33" lockText="1" noThreeD="1"/>
</file>

<file path=xl/ctrlProps/ctrlProp319.xml><?xml version="1.0" encoding="utf-8"?>
<formControlPr xmlns="http://schemas.microsoft.com/office/spreadsheetml/2009/9/main" objectType="Drop" dropLines="20" dropStyle="combo" dx="22" fmlaLink="$C$12" fmlaRange="Cities!$C$3:$C$343" sel="1" val="0"/>
</file>

<file path=xl/ctrlProps/ctrlProp320.xml><?xml version="1.0" encoding="utf-8"?>
<formControlPr xmlns="http://schemas.microsoft.com/office/spreadsheetml/2009/9/main" objectType="Drop" dropLines="20" dropStyle="combo" dx="22" fmlaLink="$C$13" fmlaRange="Cities!$C$3:$C$343" sel="1" val="321"/>
</file>

<file path=xl/ctrlProps/ctrlProp321.xml><?xml version="1.0" encoding="utf-8"?>
<formControlPr xmlns="http://schemas.microsoft.com/office/spreadsheetml/2009/9/main" objectType="Drop" dropLines="20" dropStyle="combo" dx="22" fmlaLink="$C$14" fmlaRange="Cities!$C$3:$C$343" sel="1" val="317"/>
</file>

<file path=xl/ctrlProps/ctrlProp322.xml><?xml version="1.0" encoding="utf-8"?>
<formControlPr xmlns="http://schemas.microsoft.com/office/spreadsheetml/2009/9/main" objectType="Drop" dropLines="20" dropStyle="combo" dx="22" fmlaLink="$C$15" fmlaRange="Cities!$C$3:$C$343" sel="1" val="317"/>
</file>

<file path=xl/ctrlProps/ctrlProp323.xml><?xml version="1.0" encoding="utf-8"?>
<formControlPr xmlns="http://schemas.microsoft.com/office/spreadsheetml/2009/9/main" objectType="Drop" dropLines="20" dropStyle="combo" dx="22" fmlaLink="$C$16" fmlaRange="Cities!$C$3:$C$343" sel="1" val="321"/>
</file>

<file path=xl/ctrlProps/ctrlProp324.xml><?xml version="1.0" encoding="utf-8"?>
<formControlPr xmlns="http://schemas.microsoft.com/office/spreadsheetml/2009/9/main" objectType="Drop" dropLines="20" dropStyle="combo" dx="22" fmlaLink="$C$17" fmlaRange="Cities!$C$3:$C$343" sel="1" val="321"/>
</file>

<file path=xl/ctrlProps/ctrlProp325.xml><?xml version="1.0" encoding="utf-8"?>
<formControlPr xmlns="http://schemas.microsoft.com/office/spreadsheetml/2009/9/main" objectType="Drop" dropLines="20" dropStyle="combo" dx="22" fmlaLink="$C$18" fmlaRange="Cities!$C$3:$C$343" sel="1" val="321"/>
</file>

<file path=xl/ctrlProps/ctrlProp326.xml><?xml version="1.0" encoding="utf-8"?>
<formControlPr xmlns="http://schemas.microsoft.com/office/spreadsheetml/2009/9/main" objectType="Drop" dropLines="20" dropStyle="combo" dx="22" fmlaLink="$C$19" fmlaRange="Cities!$C$3:$C$343" sel="1" val="321"/>
</file>

<file path=xl/ctrlProps/ctrlProp327.xml><?xml version="1.0" encoding="utf-8"?>
<formControlPr xmlns="http://schemas.microsoft.com/office/spreadsheetml/2009/9/main" objectType="Drop" dropLines="20" dropStyle="combo" dx="22" fmlaLink="$C$20" fmlaRange="Cities!$C$3:$C$343" sel="1" val="321"/>
</file>

<file path=xl/ctrlProps/ctrlProp328.xml><?xml version="1.0" encoding="utf-8"?>
<formControlPr xmlns="http://schemas.microsoft.com/office/spreadsheetml/2009/9/main" objectType="Drop" dropLines="20" dropStyle="combo" dx="22" fmlaLink="$C$21" fmlaRange="Cities!$C$3:$C$343" sel="1" val="321"/>
</file>

<file path=xl/ctrlProps/ctrlProp329.xml><?xml version="1.0" encoding="utf-8"?>
<formControlPr xmlns="http://schemas.microsoft.com/office/spreadsheetml/2009/9/main" objectType="Drop" dropLines="20" dropStyle="combo" dx="22" fmlaLink="$C$22" fmlaRange="Cities!$C$3:$C$343" sel="1" val="321"/>
</file>

<file path=xl/ctrlProps/ctrlProp330.xml><?xml version="1.0" encoding="utf-8"?>
<formControlPr xmlns="http://schemas.microsoft.com/office/spreadsheetml/2009/9/main" objectType="Drop" dropLines="20" dropStyle="combo" dx="22" fmlaLink="$C$23" fmlaRange="Cities!$C$3:$C$343" sel="1" val="321"/>
</file>

<file path=xl/ctrlProps/ctrlProp331.xml><?xml version="1.0" encoding="utf-8"?>
<formControlPr xmlns="http://schemas.microsoft.com/office/spreadsheetml/2009/9/main" objectType="Drop" dropLines="20" dropStyle="combo" dx="22" fmlaLink="$C$24" fmlaRange="Cities!$C$3:$C$343" sel="1" val="0"/>
</file>

<file path=xl/ctrlProps/ctrlProp332.xml><?xml version="1.0" encoding="utf-8"?>
<formControlPr xmlns="http://schemas.microsoft.com/office/spreadsheetml/2009/9/main" objectType="Drop" dropLines="20" dropStyle="combo" dx="22" fmlaLink="$C$25" fmlaRange="Cities!$C$3:$C$343" sel="1" val="0"/>
</file>

<file path=xl/ctrlProps/ctrlProp333.xml><?xml version="1.0" encoding="utf-8"?>
<formControlPr xmlns="http://schemas.microsoft.com/office/spreadsheetml/2009/9/main" objectType="Drop" dropLines="20" dropStyle="combo" dx="22" fmlaLink="$C$26" fmlaRange="Cities!$C$3:$C$343" sel="1" val="0"/>
</file>

<file path=xl/ctrlProps/ctrlProp334.xml><?xml version="1.0" encoding="utf-8"?>
<formControlPr xmlns="http://schemas.microsoft.com/office/spreadsheetml/2009/9/main" objectType="Drop" dropLines="20" dropStyle="combo" dx="22" fmlaLink="$C$27" fmlaRange="Cities!$C$3:$C$343" sel="1" val="0"/>
</file>

<file path=xl/ctrlProps/ctrlProp335.xml><?xml version="1.0" encoding="utf-8"?>
<formControlPr xmlns="http://schemas.microsoft.com/office/spreadsheetml/2009/9/main" objectType="Drop" dropLines="20" dropStyle="combo" dx="22" fmlaLink="$C$28" fmlaRange="Cities!$C$3:$C$343" sel="1" val="0"/>
</file>

<file path=xl/ctrlProps/ctrlProp336.xml><?xml version="1.0" encoding="utf-8"?>
<formControlPr xmlns="http://schemas.microsoft.com/office/spreadsheetml/2009/9/main" objectType="Drop" dropLines="20" dropStyle="combo" dx="22" fmlaLink="$C$29" fmlaRange="Cities!$C$3:$C$343" sel="1" val="0"/>
</file>

<file path=xl/ctrlProps/ctrlProp337.xml><?xml version="1.0" encoding="utf-8"?>
<formControlPr xmlns="http://schemas.microsoft.com/office/spreadsheetml/2009/9/main" objectType="Drop" dropLines="20" dropStyle="combo" dx="22" fmlaLink="$C$30" fmlaRange="Cities!$C$3:$C$343" sel="1" val="0"/>
</file>

<file path=xl/ctrlProps/ctrlProp338.xml><?xml version="1.0" encoding="utf-8"?>
<formControlPr xmlns="http://schemas.microsoft.com/office/spreadsheetml/2009/9/main" objectType="Drop" dropLines="20" dropStyle="combo" dx="22" fmlaLink="$C$31" fmlaRange="Cities!$C$3:$C$343" sel="1" val="0"/>
</file>

<file path=xl/ctrlProps/ctrlProp339.xml><?xml version="1.0" encoding="utf-8"?>
<formControlPr xmlns="http://schemas.microsoft.com/office/spreadsheetml/2009/9/main" objectType="Drop" dropLines="20" dropStyle="combo" dx="22" fmlaLink="$C$32" fmlaRange="Cities!$C$3:$C$343" sel="1" val="0"/>
</file>

<file path=xl/ctrlProps/ctrlProp340.xml><?xml version="1.0" encoding="utf-8"?>
<formControlPr xmlns="http://schemas.microsoft.com/office/spreadsheetml/2009/9/main" objectType="Drop" dropLines="20" dropStyle="combo" dx="22" fmlaLink="$C$33" fmlaRange="Cities!$C$3:$C$343" sel="1" val="0"/>
</file>

<file path=xl/ctrlProps/ctrlProp341.xml><?xml version="1.0" encoding="utf-8"?>
<formControlPr xmlns="http://schemas.microsoft.com/office/spreadsheetml/2009/9/main" objectType="Drop" dropLines="20" dropStyle="combo" dx="22" fmlaLink="$C$34" fmlaRange="Cities!$C$3:$C$343" sel="1" val="0"/>
</file>

<file path=xl/ctrlProps/ctrlProp342.xml><?xml version="1.0" encoding="utf-8"?>
<formControlPr xmlns="http://schemas.microsoft.com/office/spreadsheetml/2009/9/main" objectType="Drop" dropLines="20" dropStyle="combo" dx="22" fmlaLink="$C$35" fmlaRange="Cities!$C$3:$C$343" sel="1" val="0"/>
</file>

<file path=xl/ctrlProps/ctrlProp343.xml><?xml version="1.0" encoding="utf-8"?>
<formControlPr xmlns="http://schemas.microsoft.com/office/spreadsheetml/2009/9/main" objectType="Drop" dropLines="20" dropStyle="combo" dx="22" fmlaLink="$C$36" fmlaRange="Cities!$C$3:$C$343" sel="1" val="0"/>
</file>

<file path=xl/ctrlProps/ctrlProp344.xml><?xml version="1.0" encoding="utf-8"?>
<formControlPr xmlns="http://schemas.microsoft.com/office/spreadsheetml/2009/9/main" objectType="Drop" dropLines="20" dropStyle="combo" dx="22" fmlaLink="$C$37" fmlaRange="Cities!$C$3:$C$343" sel="1" val="0"/>
</file>

<file path=xl/ctrlProps/ctrlProp345.xml><?xml version="1.0" encoding="utf-8"?>
<formControlPr xmlns="http://schemas.microsoft.com/office/spreadsheetml/2009/9/main" objectType="Drop" dropLines="20" dropStyle="combo" dx="22" fmlaLink="$C$38" fmlaRange="Cities!$C$3:$C$343" sel="1" val="0"/>
</file>

<file path=xl/ctrlProps/ctrlProp346.xml><?xml version="1.0" encoding="utf-8"?>
<formControlPr xmlns="http://schemas.microsoft.com/office/spreadsheetml/2009/9/main" objectType="Drop" dropLines="20" dropStyle="combo" dx="22" fmlaLink="$C$39" fmlaRange="Cities!$C$3:$C$343" sel="1" val="0"/>
</file>

<file path=xl/ctrlProps/ctrlProp347.xml><?xml version="1.0" encoding="utf-8"?>
<formControlPr xmlns="http://schemas.microsoft.com/office/spreadsheetml/2009/9/main" objectType="Drop" dropLines="20" dropStyle="combo" dx="22" fmlaLink="$C$40" fmlaRange="Cities!$C$3:$C$343" sel="1" val="0"/>
</file>

<file path=xl/ctrlProps/ctrlProp348.xml><?xml version="1.0" encoding="utf-8"?>
<formControlPr xmlns="http://schemas.microsoft.com/office/spreadsheetml/2009/9/main" objectType="Drop" dropLines="20" dropStyle="combo" dx="22" fmlaLink="$C$41" fmlaRange="Cities!$C$3:$C$343" sel="1" val="0"/>
</file>

<file path=xl/ctrlProps/ctrlProp349.xml><?xml version="1.0" encoding="utf-8"?>
<formControlPr xmlns="http://schemas.microsoft.com/office/spreadsheetml/2009/9/main" objectType="Drop" dropLines="20" dropStyle="combo" dx="22" fmlaLink="$C$42" fmlaRange="Cities!$C$3:$C$343" sel="1" val="0"/>
</file>

<file path=xl/ctrlProps/ctrlProp350.xml><?xml version="1.0" encoding="utf-8"?>
<formControlPr xmlns="http://schemas.microsoft.com/office/spreadsheetml/2009/9/main" objectType="Drop" dropLines="20" dropStyle="combo" dx="22" fmlaLink="$C$43" fmlaRange="Cities!$C$3:$C$343" sel="1" val="0"/>
</file>

<file path=xl/ctrlProps/ctrlProp351.xml><?xml version="1.0" encoding="utf-8"?>
<formControlPr xmlns="http://schemas.microsoft.com/office/spreadsheetml/2009/9/main" objectType="Drop" dropLines="20" dropStyle="combo" dx="22" fmlaLink="$C$44" fmlaRange="Cities!$C$3:$C$343" sel="1" val="0"/>
</file>

<file path=xl/ctrlProps/ctrlProp352.xml><?xml version="1.0" encoding="utf-8"?>
<formControlPr xmlns="http://schemas.microsoft.com/office/spreadsheetml/2009/9/main" objectType="Drop" dropLines="20" dropStyle="combo" dx="22" fmlaLink="$C$45" fmlaRange="Cities!$C$3:$C$343" sel="1" val="0"/>
</file>

<file path=xl/ctrlProps/ctrlProp353.xml><?xml version="1.0" encoding="utf-8"?>
<formControlPr xmlns="http://schemas.microsoft.com/office/spreadsheetml/2009/9/main" objectType="Drop" dropLines="20" dropStyle="combo" dx="22" fmlaLink="$C$46" fmlaRange="Cities!$C$3:$C$343" sel="1" val="0"/>
</file>

<file path=xl/ctrlProps/ctrlProp354.xml><?xml version="1.0" encoding="utf-8"?>
<formControlPr xmlns="http://schemas.microsoft.com/office/spreadsheetml/2009/9/main" objectType="Drop" dropLines="20" dropStyle="combo" dx="22" fmlaLink="$C$47" fmlaRange="Cities!$C$3:$C$343" sel="1" val="0"/>
</file>

<file path=xl/ctrlProps/ctrlProp355.xml><?xml version="1.0" encoding="utf-8"?>
<formControlPr xmlns="http://schemas.microsoft.com/office/spreadsheetml/2009/9/main" objectType="Drop" dropLines="20" dropStyle="combo" dx="22" fmlaLink="$C$48" fmlaRange="Cities!$C$3:$C$343" sel="1" val="0"/>
</file>

<file path=xl/ctrlProps/ctrlProp356.xml><?xml version="1.0" encoding="utf-8"?>
<formControlPr xmlns="http://schemas.microsoft.com/office/spreadsheetml/2009/9/main" objectType="Drop" dropLines="20" dropStyle="combo" dx="22" fmlaLink="$C$49" fmlaRange="Cities!$C$3:$C$343" sel="1" val="0"/>
</file>

<file path=xl/ctrlProps/ctrlProp357.xml><?xml version="1.0" encoding="utf-8"?>
<formControlPr xmlns="http://schemas.microsoft.com/office/spreadsheetml/2009/9/main" objectType="Drop" dropLines="20" dropStyle="combo" dx="22" fmlaLink="$C$50" fmlaRange="Cities!$C$3:$C$343" sel="1" val="0"/>
</file>

<file path=xl/ctrlProps/ctrlProp358.xml><?xml version="1.0" encoding="utf-8"?>
<formControlPr xmlns="http://schemas.microsoft.com/office/spreadsheetml/2009/9/main" objectType="Drop" dropLines="20" dropStyle="combo" dx="22" fmlaLink="$C$51" fmlaRange="Cities!$C$3:$C$343" sel="1" val="0"/>
</file>

<file path=xl/ctrlProps/ctrlProp359.xml><?xml version="1.0" encoding="utf-8"?>
<formControlPr xmlns="http://schemas.microsoft.com/office/spreadsheetml/2009/9/main" objectType="Drop" dropLines="20" dropStyle="combo" dx="22" fmlaLink="$C$52" fmlaRange="Cities!$C$3:$C$343" sel="1" val="0"/>
</file>

<file path=xl/ctrlProps/ctrlProp360.xml><?xml version="1.0" encoding="utf-8"?>
<formControlPr xmlns="http://schemas.microsoft.com/office/spreadsheetml/2009/9/main" objectType="Drop" dropLines="20" dropStyle="combo" dx="22" fmlaLink="$C$53" fmlaRange="Cities!$C$3:$C$343" sel="1" val="0"/>
</file>

<file path=xl/ctrlProps/ctrlProp361.xml><?xml version="1.0" encoding="utf-8"?>
<formControlPr xmlns="http://schemas.microsoft.com/office/spreadsheetml/2009/9/main" objectType="Drop" dropLines="20" dropStyle="combo" dx="22" fmlaLink="$C$54" fmlaRange="Cities!$C$3:$C$343" sel="1" val="0"/>
</file>

<file path=xl/ctrlProps/ctrlProp362.xml><?xml version="1.0" encoding="utf-8"?>
<formControlPr xmlns="http://schemas.microsoft.com/office/spreadsheetml/2009/9/main" objectType="Drop" dropLines="20" dropStyle="combo" dx="22" fmlaLink="$C$55" fmlaRange="Cities!$C$3:$C$343" sel="1" val="0"/>
</file>

<file path=xl/ctrlProps/ctrlProp363.xml><?xml version="1.0" encoding="utf-8"?>
<formControlPr xmlns="http://schemas.microsoft.com/office/spreadsheetml/2009/9/main" objectType="Drop" dropLines="20" dropStyle="combo" dx="22" fmlaLink="$C$56" fmlaRange="Cities!$C$3:$C$343" sel="1" val="0"/>
</file>

<file path=xl/ctrlProps/ctrlProp364.xml><?xml version="1.0" encoding="utf-8"?>
<formControlPr xmlns="http://schemas.microsoft.com/office/spreadsheetml/2009/9/main" objectType="CheckBox" fmlaLink="Data!D$33" lockText="1" noThreeD="1"/>
</file>

<file path=xl/ctrlProps/ctrlProp365.xml><?xml version="1.0" encoding="utf-8"?>
<formControlPr xmlns="http://schemas.microsoft.com/office/spreadsheetml/2009/9/main" objectType="Drop" dropLines="20" dropStyle="combo" dx="22" fmlaLink="$C$12" fmlaRange="Cities!$C$3:$C$343" sel="1" val="0"/>
</file>

<file path=xl/ctrlProps/ctrlProp366.xml><?xml version="1.0" encoding="utf-8"?>
<formControlPr xmlns="http://schemas.microsoft.com/office/spreadsheetml/2009/9/main" objectType="Drop" dropLines="20" dropStyle="combo" dx="22" fmlaLink="$C$13" fmlaRange="Cities!$C$3:$C$343" sel="1" val="0"/>
</file>

<file path=xl/ctrlProps/ctrlProp367.xml><?xml version="1.0" encoding="utf-8"?>
<formControlPr xmlns="http://schemas.microsoft.com/office/spreadsheetml/2009/9/main" objectType="Drop" dropLines="20" dropStyle="combo" dx="22" fmlaLink="$C$14" fmlaRange="Cities!$C$3:$C$343" sel="1" val="0"/>
</file>

<file path=xl/ctrlProps/ctrlProp368.xml><?xml version="1.0" encoding="utf-8"?>
<formControlPr xmlns="http://schemas.microsoft.com/office/spreadsheetml/2009/9/main" objectType="Drop" dropLines="20" dropStyle="combo" dx="22" fmlaLink="$C$15" fmlaRange="Cities!$C$3:$C$343" sel="1" val="0"/>
</file>

<file path=xl/ctrlProps/ctrlProp369.xml><?xml version="1.0" encoding="utf-8"?>
<formControlPr xmlns="http://schemas.microsoft.com/office/spreadsheetml/2009/9/main" objectType="Drop" dropLines="20" dropStyle="combo" dx="22" fmlaLink="$C$16" fmlaRange="Cities!$C$3:$C$343" sel="1" val="0"/>
</file>

<file path=xl/ctrlProps/ctrlProp370.xml><?xml version="1.0" encoding="utf-8"?>
<formControlPr xmlns="http://schemas.microsoft.com/office/spreadsheetml/2009/9/main" objectType="Drop" dropLines="20" dropStyle="combo" dx="22" fmlaLink="$C$17" fmlaRange="Cities!$C$3:$C$343" sel="1" val="0"/>
</file>

<file path=xl/ctrlProps/ctrlProp371.xml><?xml version="1.0" encoding="utf-8"?>
<formControlPr xmlns="http://schemas.microsoft.com/office/spreadsheetml/2009/9/main" objectType="Drop" dropLines="20" dropStyle="combo" dx="22" fmlaLink="$C$18" fmlaRange="Cities!$C$3:$C$343" sel="1" val="0"/>
</file>

<file path=xl/ctrlProps/ctrlProp372.xml><?xml version="1.0" encoding="utf-8"?>
<formControlPr xmlns="http://schemas.microsoft.com/office/spreadsheetml/2009/9/main" objectType="Drop" dropLines="20" dropStyle="combo" dx="22" fmlaLink="$C$19" fmlaRange="Cities!$C$3:$C$343" sel="1" val="0"/>
</file>

<file path=xl/ctrlProps/ctrlProp373.xml><?xml version="1.0" encoding="utf-8"?>
<formControlPr xmlns="http://schemas.microsoft.com/office/spreadsheetml/2009/9/main" objectType="Drop" dropLines="20" dropStyle="combo" dx="22" fmlaLink="$C$20" fmlaRange="Cities!$C$3:$C$343" sel="1" val="0"/>
</file>

<file path=xl/ctrlProps/ctrlProp374.xml><?xml version="1.0" encoding="utf-8"?>
<formControlPr xmlns="http://schemas.microsoft.com/office/spreadsheetml/2009/9/main" objectType="Drop" dropLines="20" dropStyle="combo" dx="22" fmlaLink="$C$21" fmlaRange="Cities!$C$3:$C$343" sel="1" val="0"/>
</file>

<file path=xl/ctrlProps/ctrlProp375.xml><?xml version="1.0" encoding="utf-8"?>
<formControlPr xmlns="http://schemas.microsoft.com/office/spreadsheetml/2009/9/main" objectType="Drop" dropLines="20" dropStyle="combo" dx="22" fmlaLink="$C$22" fmlaRange="Cities!$C$3:$C$343" sel="1" val="0"/>
</file>

<file path=xl/ctrlProps/ctrlProp376.xml><?xml version="1.0" encoding="utf-8"?>
<formControlPr xmlns="http://schemas.microsoft.com/office/spreadsheetml/2009/9/main" objectType="Drop" dropLines="20" dropStyle="combo" dx="22" fmlaLink="$C$23" fmlaRange="Cities!$C$3:$C$343" sel="1" val="0"/>
</file>

<file path=xl/ctrlProps/ctrlProp377.xml><?xml version="1.0" encoding="utf-8"?>
<formControlPr xmlns="http://schemas.microsoft.com/office/spreadsheetml/2009/9/main" objectType="Drop" dropLines="20" dropStyle="combo" dx="22" fmlaLink="$C$24" fmlaRange="Cities!$C$3:$C$343" sel="1" val="0"/>
</file>

<file path=xl/ctrlProps/ctrlProp378.xml><?xml version="1.0" encoding="utf-8"?>
<formControlPr xmlns="http://schemas.microsoft.com/office/spreadsheetml/2009/9/main" objectType="Drop" dropLines="20" dropStyle="combo" dx="22" fmlaLink="$C$25" fmlaRange="Cities!$C$3:$C$343" sel="1" val="0"/>
</file>

<file path=xl/ctrlProps/ctrlProp379.xml><?xml version="1.0" encoding="utf-8"?>
<formControlPr xmlns="http://schemas.microsoft.com/office/spreadsheetml/2009/9/main" objectType="Drop" dropLines="20" dropStyle="combo" dx="22" fmlaLink="$C$26" fmlaRange="Cities!$C$3:$C$343" sel="1" val="0"/>
</file>

<file path=xl/ctrlProps/ctrlProp380.xml><?xml version="1.0" encoding="utf-8"?>
<formControlPr xmlns="http://schemas.microsoft.com/office/spreadsheetml/2009/9/main" objectType="Drop" dropLines="20" dropStyle="combo" dx="22" fmlaLink="$C$27" fmlaRange="Cities!$C$3:$C$343" sel="1" val="0"/>
</file>

<file path=xl/ctrlProps/ctrlProp381.xml><?xml version="1.0" encoding="utf-8"?>
<formControlPr xmlns="http://schemas.microsoft.com/office/spreadsheetml/2009/9/main" objectType="Drop" dropLines="20" dropStyle="combo" dx="22" fmlaLink="$C$28" fmlaRange="Cities!$C$3:$C$343" sel="1" val="0"/>
</file>

<file path=xl/ctrlProps/ctrlProp382.xml><?xml version="1.0" encoding="utf-8"?>
<formControlPr xmlns="http://schemas.microsoft.com/office/spreadsheetml/2009/9/main" objectType="Drop" dropLines="20" dropStyle="combo" dx="22" fmlaLink="$C$29" fmlaRange="Cities!$C$3:$C$343" sel="1" val="0"/>
</file>

<file path=xl/ctrlProps/ctrlProp383.xml><?xml version="1.0" encoding="utf-8"?>
<formControlPr xmlns="http://schemas.microsoft.com/office/spreadsheetml/2009/9/main" objectType="Drop" dropLines="20" dropStyle="combo" dx="22" fmlaLink="$C$30" fmlaRange="Cities!$C$3:$C$343" sel="1" val="0"/>
</file>

<file path=xl/ctrlProps/ctrlProp384.xml><?xml version="1.0" encoding="utf-8"?>
<formControlPr xmlns="http://schemas.microsoft.com/office/spreadsheetml/2009/9/main" objectType="Drop" dropLines="20" dropStyle="combo" dx="22" fmlaLink="$C$31" fmlaRange="Cities!$C$3:$C$343" sel="1" val="0"/>
</file>

<file path=xl/ctrlProps/ctrlProp385.xml><?xml version="1.0" encoding="utf-8"?>
<formControlPr xmlns="http://schemas.microsoft.com/office/spreadsheetml/2009/9/main" objectType="Drop" dropLines="20" dropStyle="combo" dx="22" fmlaLink="$C$32" fmlaRange="Cities!$C$3:$C$343" sel="1" val="0"/>
</file>

<file path=xl/ctrlProps/ctrlProp386.xml><?xml version="1.0" encoding="utf-8"?>
<formControlPr xmlns="http://schemas.microsoft.com/office/spreadsheetml/2009/9/main" objectType="Drop" dropLines="20" dropStyle="combo" dx="22" fmlaLink="$C$33" fmlaRange="Cities!$C$3:$C$343" sel="1" val="0"/>
</file>

<file path=xl/ctrlProps/ctrlProp387.xml><?xml version="1.0" encoding="utf-8"?>
<formControlPr xmlns="http://schemas.microsoft.com/office/spreadsheetml/2009/9/main" objectType="Drop" dropLines="20" dropStyle="combo" dx="22" fmlaLink="$C$34" fmlaRange="Cities!$C$3:$C$343" sel="1" val="0"/>
</file>

<file path=xl/ctrlProps/ctrlProp388.xml><?xml version="1.0" encoding="utf-8"?>
<formControlPr xmlns="http://schemas.microsoft.com/office/spreadsheetml/2009/9/main" objectType="Drop" dropLines="20" dropStyle="combo" dx="22" fmlaLink="$C$35" fmlaRange="Cities!$C$3:$C$343" sel="1" val="0"/>
</file>

<file path=xl/ctrlProps/ctrlProp389.xml><?xml version="1.0" encoding="utf-8"?>
<formControlPr xmlns="http://schemas.microsoft.com/office/spreadsheetml/2009/9/main" objectType="Drop" dropLines="20" dropStyle="combo" dx="22" fmlaLink="$C$36" fmlaRange="Cities!$C$3:$C$343" sel="1" val="0"/>
</file>

<file path=xl/ctrlProps/ctrlProp390.xml><?xml version="1.0" encoding="utf-8"?>
<formControlPr xmlns="http://schemas.microsoft.com/office/spreadsheetml/2009/9/main" objectType="Drop" dropLines="20" dropStyle="combo" dx="22" fmlaLink="$C$37" fmlaRange="Cities!$C$3:$C$343" sel="1" val="0"/>
</file>

<file path=xl/ctrlProps/ctrlProp391.xml><?xml version="1.0" encoding="utf-8"?>
<formControlPr xmlns="http://schemas.microsoft.com/office/spreadsheetml/2009/9/main" objectType="Drop" dropLines="20" dropStyle="combo" dx="22" fmlaLink="$C$38" fmlaRange="Cities!$C$3:$C$343" sel="1" val="0"/>
</file>

<file path=xl/ctrlProps/ctrlProp392.xml><?xml version="1.0" encoding="utf-8"?>
<formControlPr xmlns="http://schemas.microsoft.com/office/spreadsheetml/2009/9/main" objectType="Drop" dropLines="20" dropStyle="combo" dx="22" fmlaLink="$C$39" fmlaRange="Cities!$C$3:$C$343" sel="1" val="0"/>
</file>

<file path=xl/ctrlProps/ctrlProp393.xml><?xml version="1.0" encoding="utf-8"?>
<formControlPr xmlns="http://schemas.microsoft.com/office/spreadsheetml/2009/9/main" objectType="Drop" dropLines="20" dropStyle="combo" dx="22" fmlaLink="$C$40" fmlaRange="Cities!$C$3:$C$343" sel="1" val="0"/>
</file>

<file path=xl/ctrlProps/ctrlProp394.xml><?xml version="1.0" encoding="utf-8"?>
<formControlPr xmlns="http://schemas.microsoft.com/office/spreadsheetml/2009/9/main" objectType="Drop" dropLines="20" dropStyle="combo" dx="22" fmlaLink="$C$41" fmlaRange="Cities!$C$3:$C$343" sel="1" val="0"/>
</file>

<file path=xl/ctrlProps/ctrlProp395.xml><?xml version="1.0" encoding="utf-8"?>
<formControlPr xmlns="http://schemas.microsoft.com/office/spreadsheetml/2009/9/main" objectType="Drop" dropLines="20" dropStyle="combo" dx="22" fmlaLink="$C$42" fmlaRange="Cities!$C$3:$C$343" sel="1" val="0"/>
</file>

<file path=xl/ctrlProps/ctrlProp396.xml><?xml version="1.0" encoding="utf-8"?>
<formControlPr xmlns="http://schemas.microsoft.com/office/spreadsheetml/2009/9/main" objectType="Drop" dropLines="20" dropStyle="combo" dx="22" fmlaLink="$C$43" fmlaRange="Cities!$C$3:$C$343" sel="1" val="0"/>
</file>

<file path=xl/ctrlProps/ctrlProp397.xml><?xml version="1.0" encoding="utf-8"?>
<formControlPr xmlns="http://schemas.microsoft.com/office/spreadsheetml/2009/9/main" objectType="Drop" dropLines="20" dropStyle="combo" dx="22" fmlaLink="$C$44" fmlaRange="Cities!$C$3:$C$343" sel="1" val="0"/>
</file>

<file path=xl/ctrlProps/ctrlProp398.xml><?xml version="1.0" encoding="utf-8"?>
<formControlPr xmlns="http://schemas.microsoft.com/office/spreadsheetml/2009/9/main" objectType="Drop" dropLines="20" dropStyle="combo" dx="22" fmlaLink="$C$45" fmlaRange="Cities!$C$3:$C$343" sel="1" val="0"/>
</file>

<file path=xl/ctrlProps/ctrlProp399.xml><?xml version="1.0" encoding="utf-8"?>
<formControlPr xmlns="http://schemas.microsoft.com/office/spreadsheetml/2009/9/main" objectType="Drop" dropLines="20" dropStyle="combo" dx="22" fmlaLink="$C$46" fmlaRange="Cities!$C$3:$C$343" sel="1" val="0"/>
</file>

<file path=xl/ctrlProps/ctrlProp400.xml><?xml version="1.0" encoding="utf-8"?>
<formControlPr xmlns="http://schemas.microsoft.com/office/spreadsheetml/2009/9/main" objectType="Drop" dropLines="20" dropStyle="combo" dx="22" fmlaLink="$C$47" fmlaRange="Cities!$C$3:$C$343" sel="1" val="0"/>
</file>

<file path=xl/ctrlProps/ctrlProp401.xml><?xml version="1.0" encoding="utf-8"?>
<formControlPr xmlns="http://schemas.microsoft.com/office/spreadsheetml/2009/9/main" objectType="Drop" dropLines="20" dropStyle="combo" dx="22" fmlaLink="$C$48" fmlaRange="Cities!$C$3:$C$343" sel="1" val="0"/>
</file>

<file path=xl/ctrlProps/ctrlProp402.xml><?xml version="1.0" encoding="utf-8"?>
<formControlPr xmlns="http://schemas.microsoft.com/office/spreadsheetml/2009/9/main" objectType="Drop" dropLines="20" dropStyle="combo" dx="22" fmlaLink="$C$49" fmlaRange="Cities!$C$3:$C$343" sel="1" val="0"/>
</file>

<file path=xl/ctrlProps/ctrlProp403.xml><?xml version="1.0" encoding="utf-8"?>
<formControlPr xmlns="http://schemas.microsoft.com/office/spreadsheetml/2009/9/main" objectType="Drop" dropLines="20" dropStyle="combo" dx="22" fmlaLink="$C$50" fmlaRange="Cities!$C$3:$C$343" sel="1" val="0"/>
</file>

<file path=xl/ctrlProps/ctrlProp404.xml><?xml version="1.0" encoding="utf-8"?>
<formControlPr xmlns="http://schemas.microsoft.com/office/spreadsheetml/2009/9/main" objectType="Drop" dropLines="20" dropStyle="combo" dx="22" fmlaLink="$C$51" fmlaRange="Cities!$C$3:$C$343" sel="1" val="0"/>
</file>

<file path=xl/ctrlProps/ctrlProp405.xml><?xml version="1.0" encoding="utf-8"?>
<formControlPr xmlns="http://schemas.microsoft.com/office/spreadsheetml/2009/9/main" objectType="Drop" dropLines="20" dropStyle="combo" dx="22" fmlaLink="$C$52" fmlaRange="Cities!$C$3:$C$343" sel="1" val="0"/>
</file>

<file path=xl/ctrlProps/ctrlProp406.xml><?xml version="1.0" encoding="utf-8"?>
<formControlPr xmlns="http://schemas.microsoft.com/office/spreadsheetml/2009/9/main" objectType="Drop" dropLines="20" dropStyle="combo" dx="22" fmlaLink="$C$53" fmlaRange="Cities!$C$3:$C$343" sel="1" val="0"/>
</file>

<file path=xl/ctrlProps/ctrlProp407.xml><?xml version="1.0" encoding="utf-8"?>
<formControlPr xmlns="http://schemas.microsoft.com/office/spreadsheetml/2009/9/main" objectType="Drop" dropLines="20" dropStyle="combo" dx="22" fmlaLink="$C$54" fmlaRange="Cities!$C$3:$C$343" sel="1" val="0"/>
</file>

<file path=xl/ctrlProps/ctrlProp408.xml><?xml version="1.0" encoding="utf-8"?>
<formControlPr xmlns="http://schemas.microsoft.com/office/spreadsheetml/2009/9/main" objectType="Drop" dropLines="20" dropStyle="combo" dx="22" fmlaLink="$C$55" fmlaRange="Cities!$C$3:$C$343" sel="1" val="0"/>
</file>

<file path=xl/ctrlProps/ctrlProp409.xml><?xml version="1.0" encoding="utf-8"?>
<formControlPr xmlns="http://schemas.microsoft.com/office/spreadsheetml/2009/9/main" objectType="Drop" dropLines="20" dropStyle="combo" dx="22" fmlaLink="$C$56" fmlaRange="Cities!$C$3:$C$343" sel="1" val="0"/>
</file>

<file path=xl/ctrlProps/ctrlProp410.xml><?xml version="1.0" encoding="utf-8"?>
<formControlPr xmlns="http://schemas.microsoft.com/office/spreadsheetml/2009/9/main" objectType="CheckBox" fmlaLink="Data!D$33"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209550</xdr:colOff>
          <xdr:row>8</xdr:row>
          <xdr:rowOff>123825</xdr:rowOff>
        </xdr:from>
        <xdr:to>
          <xdr:col>2</xdr:col>
          <xdr:colOff>809625</xdr:colOff>
          <xdr:row>10</xdr:row>
          <xdr:rowOff>9525</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 Corporation (1120)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209550</xdr:colOff>
          <xdr:row>9</xdr:row>
          <xdr:rowOff>133350</xdr:rowOff>
        </xdr:from>
        <xdr:to>
          <xdr:col>2</xdr:col>
          <xdr:colOff>790575</xdr:colOff>
          <xdr:row>11</xdr:row>
          <xdr:rowOff>9525</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 Corporation (1120-A)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952500</xdr:colOff>
          <xdr:row>8</xdr:row>
          <xdr:rowOff>123825</xdr:rowOff>
        </xdr:from>
        <xdr:to>
          <xdr:col>4</xdr:col>
          <xdr:colOff>57150</xdr:colOff>
          <xdr:row>10</xdr:row>
          <xdr:rowOff>9525</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1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Partnership (1065)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952500</xdr:colOff>
          <xdr:row>9</xdr:row>
          <xdr:rowOff>133350</xdr:rowOff>
        </xdr:from>
        <xdr:to>
          <xdr:col>4</xdr:col>
          <xdr:colOff>114300</xdr:colOff>
          <xdr:row>11</xdr:row>
          <xdr:rowOff>9525</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100-000006080000}"/>
                </a:ext>
              </a:extLst>
            </xdr:cNvPr>
            <xdr:cNvSpPr/>
          </xdr:nvSpPr>
          <xdr:spPr bwMode="auto">
            <a:xfrm>
              <a:off x="0" y="0"/>
              <a:ext cx="0" cy="0"/>
            </a:xfrm>
            <a:prstGeom prst="rect">
              <a:avLst/>
            </a:prstGeom>
            <a:noFill/>
            <a:ln>
              <a:noFill/>
            </a:ln>
            <a:extLst>
              <a:ext uri="{909E8E84-426E-40DD-AFC4-6F175D3DCCD1}">
                <a14:hiddenFill>
                  <a:solidFill>
                    <a:srgbClr val="CCFFFF" mc:Ignorable="a14" a14:legacySpreadsheetColorIndex="41"/>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Trust (1041)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209550</xdr:colOff>
          <xdr:row>10</xdr:row>
          <xdr:rowOff>133350</xdr:rowOff>
        </xdr:from>
        <xdr:to>
          <xdr:col>2</xdr:col>
          <xdr:colOff>790575</xdr:colOff>
          <xdr:row>12</xdr:row>
          <xdr:rowOff>9525</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1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S Corporation (1120S)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952500</xdr:colOff>
          <xdr:row>10</xdr:row>
          <xdr:rowOff>133350</xdr:rowOff>
        </xdr:from>
        <xdr:to>
          <xdr:col>4</xdr:col>
          <xdr:colOff>123825</xdr:colOff>
          <xdr:row>12</xdr:row>
          <xdr:rowOff>9525</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100-000009080000}"/>
                </a:ext>
              </a:extLst>
            </xdr:cNvPr>
            <xdr:cNvSpPr/>
          </xdr:nvSpPr>
          <xdr:spPr bwMode="auto">
            <a:xfrm>
              <a:off x="0" y="0"/>
              <a:ext cx="0" cy="0"/>
            </a:xfrm>
            <a:prstGeom prst="rect">
              <a:avLst/>
            </a:prstGeom>
            <a:noFill/>
            <a:ln>
              <a:noFill/>
            </a:ln>
            <a:extLst>
              <a:ext uri="{909E8E84-426E-40DD-AFC4-6F175D3DCCD1}">
                <a14:hiddenFill>
                  <a:solidFill>
                    <a:srgbClr val="CCFFFF" mc:Ignorable="a14" a14:legacySpreadsheetColorIndex="41"/>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Individual (1040)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209550</xdr:colOff>
          <xdr:row>11</xdr:row>
          <xdr:rowOff>123825</xdr:rowOff>
        </xdr:from>
        <xdr:to>
          <xdr:col>2</xdr:col>
          <xdr:colOff>838200</xdr:colOff>
          <xdr:row>13</xdr:row>
          <xdr:rowOff>0</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1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Corporation (1120-REIT)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952500</xdr:colOff>
          <xdr:row>11</xdr:row>
          <xdr:rowOff>123825</xdr:rowOff>
        </xdr:from>
        <xdr:to>
          <xdr:col>4</xdr:col>
          <xdr:colOff>123825</xdr:colOff>
          <xdr:row>13</xdr:row>
          <xdr:rowOff>0</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100-00000F080000}"/>
                </a:ext>
              </a:extLst>
            </xdr:cNvPr>
            <xdr:cNvSpPr/>
          </xdr:nvSpPr>
          <xdr:spPr bwMode="auto">
            <a:xfrm>
              <a:off x="0" y="0"/>
              <a:ext cx="0" cy="0"/>
            </a:xfrm>
            <a:prstGeom prst="rect">
              <a:avLst/>
            </a:prstGeom>
            <a:noFill/>
            <a:ln>
              <a:noFill/>
            </a:ln>
            <a:extLst>
              <a:ext uri="{909E8E84-426E-40DD-AFC4-6F175D3DCCD1}">
                <a14:hiddenFill>
                  <a:solidFill>
                    <a:srgbClr val="CCFFFF" mc:Ignorable="a14" a14:legacySpreadsheetColorIndex="41"/>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23</xdr:row>
          <xdr:rowOff>190500</xdr:rowOff>
        </xdr:from>
        <xdr:to>
          <xdr:col>3</xdr:col>
          <xdr:colOff>419100</xdr:colOff>
          <xdr:row>25</xdr:row>
          <xdr:rowOff>9525</xdr:rowOff>
        </xdr:to>
        <xdr:sp macro="" textlink="">
          <xdr:nvSpPr>
            <xdr:cNvPr id="2064" name="Check Box 16" hidden="1">
              <a:extLst>
                <a:ext uri="{63B3BB69-23CF-44E3-9099-C40C66FF867C}">
                  <a14:compatExt spid="_x0000_s2064"/>
                </a:ext>
                <a:ext uri="{FF2B5EF4-FFF2-40B4-BE49-F238E27FC236}">
                  <a16:creationId xmlns:a16="http://schemas.microsoft.com/office/drawing/2014/main" id="{00000000-0008-0000-01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Check Here if Amended Return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200025</xdr:colOff>
          <xdr:row>30</xdr:row>
          <xdr:rowOff>152400</xdr:rowOff>
        </xdr:from>
        <xdr:to>
          <xdr:col>2</xdr:col>
          <xdr:colOff>0</xdr:colOff>
          <xdr:row>31</xdr:row>
          <xdr:rowOff>276225</xdr:rowOff>
        </xdr:to>
        <xdr:sp macro="" textlink="">
          <xdr:nvSpPr>
            <xdr:cNvPr id="2065" name="Check Box 17" hidden="1">
              <a:extLst>
                <a:ext uri="{63B3BB69-23CF-44E3-9099-C40C66FF867C}">
                  <a14:compatExt spid="_x0000_s2065"/>
                </a:ext>
                <a:ext uri="{FF2B5EF4-FFF2-40B4-BE49-F238E27FC236}">
                  <a16:creationId xmlns:a16="http://schemas.microsoft.com/office/drawing/2014/main" id="{00000000-0008-0000-0100-00001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200025</xdr:colOff>
          <xdr:row>33</xdr:row>
          <xdr:rowOff>0</xdr:rowOff>
        </xdr:from>
        <xdr:to>
          <xdr:col>2</xdr:col>
          <xdr:colOff>0</xdr:colOff>
          <xdr:row>34</xdr:row>
          <xdr:rowOff>57150</xdr:rowOff>
        </xdr:to>
        <xdr:sp macro="" textlink="">
          <xdr:nvSpPr>
            <xdr:cNvPr id="2067" name="Check Box 19" hidden="1">
              <a:extLst>
                <a:ext uri="{63B3BB69-23CF-44E3-9099-C40C66FF867C}">
                  <a14:compatExt spid="_x0000_s2067"/>
                </a:ext>
                <a:ext uri="{FF2B5EF4-FFF2-40B4-BE49-F238E27FC236}">
                  <a16:creationId xmlns:a16="http://schemas.microsoft.com/office/drawing/2014/main" id="{00000000-0008-0000-0100-00001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95250</xdr:colOff>
          <xdr:row>158</xdr:row>
          <xdr:rowOff>95250</xdr:rowOff>
        </xdr:from>
        <xdr:to>
          <xdr:col>9</xdr:col>
          <xdr:colOff>295275</xdr:colOff>
          <xdr:row>159</xdr:row>
          <xdr:rowOff>152400</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1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Refund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95250</xdr:colOff>
          <xdr:row>159</xdr:row>
          <xdr:rowOff>152400</xdr:rowOff>
        </xdr:from>
        <xdr:to>
          <xdr:col>9</xdr:col>
          <xdr:colOff>219075</xdr:colOff>
          <xdr:row>159</xdr:row>
          <xdr:rowOff>390525</xdr:rowOff>
        </xdr:to>
        <xdr:sp macro="" textlink="">
          <xdr:nvSpPr>
            <xdr:cNvPr id="2070" name="Check Box 22" hidden="1">
              <a:extLst>
                <a:ext uri="{63B3BB69-23CF-44E3-9099-C40C66FF867C}">
                  <a14:compatExt spid="_x0000_s2070"/>
                </a:ext>
                <a:ext uri="{FF2B5EF4-FFF2-40B4-BE49-F238E27FC236}">
                  <a16:creationId xmlns:a16="http://schemas.microsoft.com/office/drawing/2014/main" id="{00000000-0008-0000-0100-00001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Credit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23</xdr:row>
          <xdr:rowOff>190500</xdr:rowOff>
        </xdr:from>
        <xdr:to>
          <xdr:col>6</xdr:col>
          <xdr:colOff>600075</xdr:colOff>
          <xdr:row>25</xdr:row>
          <xdr:rowOff>9525</xdr:rowOff>
        </xdr:to>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100-00001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Out of Business as of:</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23</xdr:row>
          <xdr:rowOff>0</xdr:rowOff>
        </xdr:from>
        <xdr:to>
          <xdr:col>6</xdr:col>
          <xdr:colOff>581025</xdr:colOff>
          <xdr:row>24</xdr:row>
          <xdr:rowOff>19050</xdr:rowOff>
        </xdr:to>
        <xdr:sp macro="" textlink="">
          <xdr:nvSpPr>
            <xdr:cNvPr id="2072" name="Check Box 24" hidden="1">
              <a:extLst>
                <a:ext uri="{63B3BB69-23CF-44E3-9099-C40C66FF867C}">
                  <a14:compatExt spid="_x0000_s2072"/>
                </a:ext>
                <a:ext uri="{FF2B5EF4-FFF2-40B4-BE49-F238E27FC236}">
                  <a16:creationId xmlns:a16="http://schemas.microsoft.com/office/drawing/2014/main" id="{00000000-0008-0000-0100-00001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Moved out of RITA: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24</xdr:row>
          <xdr:rowOff>171450</xdr:rowOff>
        </xdr:from>
        <xdr:to>
          <xdr:col>2</xdr:col>
          <xdr:colOff>1276350</xdr:colOff>
          <xdr:row>26</xdr:row>
          <xdr:rowOff>0</xdr:rowOff>
        </xdr:to>
        <xdr:sp macro="" textlink="">
          <xdr:nvSpPr>
            <xdr:cNvPr id="2074" name="Check Box 26" hidden="1">
              <a:extLst>
                <a:ext uri="{63B3BB69-23CF-44E3-9099-C40C66FF867C}">
                  <a14:compatExt spid="_x0000_s2074"/>
                </a:ext>
                <a:ext uri="{FF2B5EF4-FFF2-40B4-BE49-F238E27FC236}">
                  <a16:creationId xmlns:a16="http://schemas.microsoft.com/office/drawing/2014/main" id="{00000000-0008-0000-0100-00001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Consolidated Return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200025</xdr:colOff>
          <xdr:row>27</xdr:row>
          <xdr:rowOff>28575</xdr:rowOff>
        </xdr:from>
        <xdr:to>
          <xdr:col>2</xdr:col>
          <xdr:colOff>0</xdr:colOff>
          <xdr:row>30</xdr:row>
          <xdr:rowOff>19050</xdr:rowOff>
        </xdr:to>
        <xdr:sp macro="" textlink="">
          <xdr:nvSpPr>
            <xdr:cNvPr id="2075" name="Check Box 27" hidden="1">
              <a:extLst>
                <a:ext uri="{63B3BB69-23CF-44E3-9099-C40C66FF867C}">
                  <a14:compatExt spid="_x0000_s2075"/>
                </a:ext>
                <a:ext uri="{FF2B5EF4-FFF2-40B4-BE49-F238E27FC236}">
                  <a16:creationId xmlns:a16="http://schemas.microsoft.com/office/drawing/2014/main" id="{00000000-0008-0000-0100-00001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23</xdr:row>
          <xdr:rowOff>0</xdr:rowOff>
        </xdr:from>
        <xdr:to>
          <xdr:col>2</xdr:col>
          <xdr:colOff>1343025</xdr:colOff>
          <xdr:row>24</xdr:row>
          <xdr:rowOff>19050</xdr:rowOff>
        </xdr:to>
        <xdr:sp macro="" textlink="">
          <xdr:nvSpPr>
            <xdr:cNvPr id="2076" name="Check Box 28" hidden="1">
              <a:extLst>
                <a:ext uri="{63B3BB69-23CF-44E3-9099-C40C66FF867C}">
                  <a14:compatExt spid="_x0000_s2076"/>
                </a:ext>
                <a:ext uri="{FF2B5EF4-FFF2-40B4-BE49-F238E27FC236}">
                  <a16:creationId xmlns:a16="http://schemas.microsoft.com/office/drawing/2014/main" id="{00000000-0008-0000-0100-00001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Initial RITA Return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466725</xdr:colOff>
          <xdr:row>36</xdr:row>
          <xdr:rowOff>95250</xdr:rowOff>
        </xdr:from>
        <xdr:to>
          <xdr:col>6</xdr:col>
          <xdr:colOff>304800</xdr:colOff>
          <xdr:row>39</xdr:row>
          <xdr:rowOff>38100</xdr:rowOff>
        </xdr:to>
        <xdr:sp macro="" textlink="">
          <xdr:nvSpPr>
            <xdr:cNvPr id="2155" name="Check Box 107" hidden="1">
              <a:extLst>
                <a:ext uri="{63B3BB69-23CF-44E3-9099-C40C66FF867C}">
                  <a14:compatExt spid="_x0000_s2155"/>
                </a:ext>
                <a:ext uri="{FF2B5EF4-FFF2-40B4-BE49-F238E27FC236}">
                  <a16:creationId xmlns:a16="http://schemas.microsoft.com/office/drawing/2014/main" id="{00000000-0008-0000-0100-00006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Check here if RITA may discuss this return with the paid preparer shown above.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200025</xdr:colOff>
          <xdr:row>29</xdr:row>
          <xdr:rowOff>95250</xdr:rowOff>
        </xdr:from>
        <xdr:to>
          <xdr:col>2</xdr:col>
          <xdr:colOff>0</xdr:colOff>
          <xdr:row>31</xdr:row>
          <xdr:rowOff>47625</xdr:rowOff>
        </xdr:to>
        <xdr:sp macro="" textlink="">
          <xdr:nvSpPr>
            <xdr:cNvPr id="2165" name="Check Box 117" hidden="1">
              <a:extLst>
                <a:ext uri="{63B3BB69-23CF-44E3-9099-C40C66FF867C}">
                  <a14:compatExt spid="_x0000_s2165"/>
                </a:ext>
                <a:ext uri="{FF2B5EF4-FFF2-40B4-BE49-F238E27FC236}">
                  <a16:creationId xmlns:a16="http://schemas.microsoft.com/office/drawing/2014/main" id="{00000000-0008-0000-0100-00007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0</xdr:rowOff>
        </xdr:from>
        <xdr:to>
          <xdr:col>7</xdr:col>
          <xdr:colOff>200025</xdr:colOff>
          <xdr:row>28</xdr:row>
          <xdr:rowOff>0</xdr:rowOff>
        </xdr:to>
        <xdr:sp macro="" textlink="">
          <xdr:nvSpPr>
            <xdr:cNvPr id="2168" name="Check Box 120" descr="Consolidated filer with 80% ownership of a Pass-Through Entity" hidden="1">
              <a:extLst>
                <a:ext uri="{63B3BB69-23CF-44E3-9099-C40C66FF867C}">
                  <a14:compatExt spid="_x0000_s2168"/>
                </a:ext>
                <a:ext uri="{FF2B5EF4-FFF2-40B4-BE49-F238E27FC236}">
                  <a16:creationId xmlns:a16="http://schemas.microsoft.com/office/drawing/2014/main" id="{00000000-0008-0000-0100-00007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Consolidated filer with 80% ownership of a Pass-Through Entity (see instructions)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257175</xdr:colOff>
          <xdr:row>95</xdr:row>
          <xdr:rowOff>66675</xdr:rowOff>
        </xdr:from>
        <xdr:to>
          <xdr:col>9</xdr:col>
          <xdr:colOff>485775</xdr:colOff>
          <xdr:row>95</xdr:row>
          <xdr:rowOff>257175</xdr:rowOff>
        </xdr:to>
        <xdr:sp macro="" textlink="">
          <xdr:nvSpPr>
            <xdr:cNvPr id="2171" name="Check Box 123" hidden="1">
              <a:extLst>
                <a:ext uri="{63B3BB69-23CF-44E3-9099-C40C66FF867C}">
                  <a14:compatExt spid="_x0000_s2171"/>
                </a:ext>
                <a:ext uri="{FF2B5EF4-FFF2-40B4-BE49-F238E27FC236}">
                  <a16:creationId xmlns:a16="http://schemas.microsoft.com/office/drawing/2014/main" id="{00000000-0008-0000-0100-00007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123825</xdr:colOff>
          <xdr:row>10</xdr:row>
          <xdr:rowOff>123825</xdr:rowOff>
        </xdr:from>
        <xdr:to>
          <xdr:col>4</xdr:col>
          <xdr:colOff>466725</xdr:colOff>
          <xdr:row>12</xdr:row>
          <xdr:rowOff>19050</xdr:rowOff>
        </xdr:to>
        <xdr:sp macro="" textlink="">
          <xdr:nvSpPr>
            <xdr:cNvPr id="7169" name="Check Box 1" hidden="1">
              <a:extLst>
                <a:ext uri="{63B3BB69-23CF-44E3-9099-C40C66FF867C}">
                  <a14:compatExt spid="_x0000_s7169"/>
                </a:ext>
                <a:ext uri="{FF2B5EF4-FFF2-40B4-BE49-F238E27FC236}">
                  <a16:creationId xmlns:a16="http://schemas.microsoft.com/office/drawing/2014/main" id="{00000000-0008-0000-0200-000001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Amended Return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xdr:colOff>
          <xdr:row>15</xdr:row>
          <xdr:rowOff>0</xdr:rowOff>
        </xdr:from>
        <xdr:to>
          <xdr:col>5</xdr:col>
          <xdr:colOff>66675</xdr:colOff>
          <xdr:row>16</xdr:row>
          <xdr:rowOff>19050</xdr:rowOff>
        </xdr:to>
        <xdr:sp macro="" textlink="">
          <xdr:nvSpPr>
            <xdr:cNvPr id="7170" name="Check Box 2" hidden="1">
              <a:extLst>
                <a:ext uri="{63B3BB69-23CF-44E3-9099-C40C66FF867C}">
                  <a14:compatExt spid="_x0000_s7170"/>
                </a:ext>
                <a:ext uri="{FF2B5EF4-FFF2-40B4-BE49-F238E27FC236}">
                  <a16:creationId xmlns:a16="http://schemas.microsoft.com/office/drawing/2014/main" id="{00000000-0008-0000-0200-00000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 CORPORATION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xdr:colOff>
          <xdr:row>15</xdr:row>
          <xdr:rowOff>190500</xdr:rowOff>
        </xdr:from>
        <xdr:to>
          <xdr:col>5</xdr:col>
          <xdr:colOff>47625</xdr:colOff>
          <xdr:row>17</xdr:row>
          <xdr:rowOff>47625</xdr:rowOff>
        </xdr:to>
        <xdr:sp macro="" textlink="">
          <xdr:nvSpPr>
            <xdr:cNvPr id="7171" name="Check Box 3" hidden="1">
              <a:extLst>
                <a:ext uri="{63B3BB69-23CF-44E3-9099-C40C66FF867C}">
                  <a14:compatExt spid="_x0000_s7171"/>
                </a:ext>
                <a:ext uri="{FF2B5EF4-FFF2-40B4-BE49-F238E27FC236}">
                  <a16:creationId xmlns:a16="http://schemas.microsoft.com/office/drawing/2014/main" id="{00000000-0008-0000-0200-00000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S CORPORATION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85725</xdr:colOff>
          <xdr:row>14</xdr:row>
          <xdr:rowOff>142875</xdr:rowOff>
        </xdr:from>
        <xdr:to>
          <xdr:col>6</xdr:col>
          <xdr:colOff>400050</xdr:colOff>
          <xdr:row>16</xdr:row>
          <xdr:rowOff>19050</xdr:rowOff>
        </xdr:to>
        <xdr:sp macro="" textlink="">
          <xdr:nvSpPr>
            <xdr:cNvPr id="7172" name="Check Box 4" hidden="1">
              <a:extLst>
                <a:ext uri="{63B3BB69-23CF-44E3-9099-C40C66FF867C}">
                  <a14:compatExt spid="_x0000_s7172"/>
                </a:ext>
                <a:ext uri="{FF2B5EF4-FFF2-40B4-BE49-F238E27FC236}">
                  <a16:creationId xmlns:a16="http://schemas.microsoft.com/office/drawing/2014/main" id="{00000000-0008-0000-0200-00000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PARTNERSHIP</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xdr:colOff>
          <xdr:row>64</xdr:row>
          <xdr:rowOff>57150</xdr:rowOff>
        </xdr:from>
        <xdr:to>
          <xdr:col>4</xdr:col>
          <xdr:colOff>314325</xdr:colOff>
          <xdr:row>66</xdr:row>
          <xdr:rowOff>47625</xdr:rowOff>
        </xdr:to>
        <xdr:sp macro="" textlink="">
          <xdr:nvSpPr>
            <xdr:cNvPr id="7173" name="Check Box 5" hidden="1">
              <a:extLst>
                <a:ext uri="{63B3BB69-23CF-44E3-9099-C40C66FF867C}">
                  <a14:compatExt spid="_x0000_s7173"/>
                </a:ext>
                <a:ext uri="{FF2B5EF4-FFF2-40B4-BE49-F238E27FC236}">
                  <a16:creationId xmlns:a16="http://schemas.microsoft.com/office/drawing/2014/main" id="{00000000-0008-0000-0200-00000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66</xdr:row>
          <xdr:rowOff>123825</xdr:rowOff>
        </xdr:from>
        <xdr:to>
          <xdr:col>4</xdr:col>
          <xdr:colOff>323850</xdr:colOff>
          <xdr:row>68</xdr:row>
          <xdr:rowOff>28575</xdr:rowOff>
        </xdr:to>
        <xdr:sp macro="" textlink="">
          <xdr:nvSpPr>
            <xdr:cNvPr id="7174" name="Check Box 6" hidden="1">
              <a:extLst>
                <a:ext uri="{63B3BB69-23CF-44E3-9099-C40C66FF867C}">
                  <a14:compatExt spid="_x0000_s7174"/>
                </a:ext>
                <a:ext uri="{FF2B5EF4-FFF2-40B4-BE49-F238E27FC236}">
                  <a16:creationId xmlns:a16="http://schemas.microsoft.com/office/drawing/2014/main" id="{00000000-0008-0000-0200-00000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8</xdr:row>
          <xdr:rowOff>133350</xdr:rowOff>
        </xdr:from>
        <xdr:to>
          <xdr:col>4</xdr:col>
          <xdr:colOff>561975</xdr:colOff>
          <xdr:row>11</xdr:row>
          <xdr:rowOff>28575</xdr:rowOff>
        </xdr:to>
        <xdr:sp macro="" textlink="">
          <xdr:nvSpPr>
            <xdr:cNvPr id="7175" name="Check Box 7" hidden="1">
              <a:extLst>
                <a:ext uri="{63B3BB69-23CF-44E3-9099-C40C66FF867C}">
                  <a14:compatExt spid="_x0000_s7175"/>
                </a:ext>
                <a:ext uri="{FF2B5EF4-FFF2-40B4-BE49-F238E27FC236}">
                  <a16:creationId xmlns:a16="http://schemas.microsoft.com/office/drawing/2014/main" id="{00000000-0008-0000-0200-00000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Initial RITA Return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11</xdr:row>
          <xdr:rowOff>114300</xdr:rowOff>
        </xdr:from>
        <xdr:to>
          <xdr:col>6</xdr:col>
          <xdr:colOff>152400</xdr:colOff>
          <xdr:row>13</xdr:row>
          <xdr:rowOff>9525</xdr:rowOff>
        </xdr:to>
        <xdr:sp macro="" textlink="">
          <xdr:nvSpPr>
            <xdr:cNvPr id="7176" name="Check Box 8" hidden="1">
              <a:extLst>
                <a:ext uri="{63B3BB69-23CF-44E3-9099-C40C66FF867C}">
                  <a14:compatExt spid="_x0000_s7176"/>
                </a:ext>
                <a:ext uri="{FF2B5EF4-FFF2-40B4-BE49-F238E27FC236}">
                  <a16:creationId xmlns:a16="http://schemas.microsoft.com/office/drawing/2014/main" id="{00000000-0008-0000-0200-00000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Consolidated Return (attach Form 851)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276225</xdr:colOff>
          <xdr:row>8</xdr:row>
          <xdr:rowOff>133350</xdr:rowOff>
        </xdr:from>
        <xdr:to>
          <xdr:col>8</xdr:col>
          <xdr:colOff>238125</xdr:colOff>
          <xdr:row>11</xdr:row>
          <xdr:rowOff>28575</xdr:rowOff>
        </xdr:to>
        <xdr:sp macro="" textlink="">
          <xdr:nvSpPr>
            <xdr:cNvPr id="7177" name="Check Box 9" hidden="1">
              <a:extLst>
                <a:ext uri="{63B3BB69-23CF-44E3-9099-C40C66FF867C}">
                  <a14:compatExt spid="_x0000_s7177"/>
                </a:ext>
                <a:ext uri="{FF2B5EF4-FFF2-40B4-BE49-F238E27FC236}">
                  <a16:creationId xmlns:a16="http://schemas.microsoft.com/office/drawing/2014/main" id="{00000000-0008-0000-0200-000009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Moved out of RITA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276225</xdr:colOff>
          <xdr:row>11</xdr:row>
          <xdr:rowOff>114300</xdr:rowOff>
        </xdr:from>
        <xdr:to>
          <xdr:col>8</xdr:col>
          <xdr:colOff>180975</xdr:colOff>
          <xdr:row>13</xdr:row>
          <xdr:rowOff>9525</xdr:rowOff>
        </xdr:to>
        <xdr:sp macro="" textlink="">
          <xdr:nvSpPr>
            <xdr:cNvPr id="7178" name="Check Box 10" hidden="1">
              <a:extLst>
                <a:ext uri="{63B3BB69-23CF-44E3-9099-C40C66FF867C}">
                  <a14:compatExt spid="_x0000_s7178"/>
                </a:ext>
                <a:ext uri="{FF2B5EF4-FFF2-40B4-BE49-F238E27FC236}">
                  <a16:creationId xmlns:a16="http://schemas.microsoft.com/office/drawing/2014/main" id="{00000000-0008-0000-0200-00000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Out of Business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85725</xdr:colOff>
          <xdr:row>15</xdr:row>
          <xdr:rowOff>161925</xdr:rowOff>
        </xdr:from>
        <xdr:to>
          <xdr:col>6</xdr:col>
          <xdr:colOff>123825</xdr:colOff>
          <xdr:row>17</xdr:row>
          <xdr:rowOff>19050</xdr:rowOff>
        </xdr:to>
        <xdr:sp macro="" textlink="">
          <xdr:nvSpPr>
            <xdr:cNvPr id="7179" name="Check Box 11" hidden="1">
              <a:extLst>
                <a:ext uri="{63B3BB69-23CF-44E3-9099-C40C66FF867C}">
                  <a14:compatExt spid="_x0000_s7179"/>
                </a:ext>
                <a:ext uri="{FF2B5EF4-FFF2-40B4-BE49-F238E27FC236}">
                  <a16:creationId xmlns:a16="http://schemas.microsoft.com/office/drawing/2014/main" id="{00000000-0008-0000-0200-00000B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ESTATE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15</xdr:row>
          <xdr:rowOff>0</xdr:rowOff>
        </xdr:from>
        <xdr:to>
          <xdr:col>7</xdr:col>
          <xdr:colOff>428625</xdr:colOff>
          <xdr:row>16</xdr:row>
          <xdr:rowOff>19050</xdr:rowOff>
        </xdr:to>
        <xdr:sp macro="" textlink="">
          <xdr:nvSpPr>
            <xdr:cNvPr id="7180" name="Check Box 12" hidden="1">
              <a:extLst>
                <a:ext uri="{63B3BB69-23CF-44E3-9099-C40C66FF867C}">
                  <a14:compatExt spid="_x0000_s7180"/>
                </a:ext>
                <a:ext uri="{FF2B5EF4-FFF2-40B4-BE49-F238E27FC236}">
                  <a16:creationId xmlns:a16="http://schemas.microsoft.com/office/drawing/2014/main" id="{00000000-0008-0000-0200-00000C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LLC</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16</xdr:row>
          <xdr:rowOff>9525</xdr:rowOff>
        </xdr:from>
        <xdr:to>
          <xdr:col>8</xdr:col>
          <xdr:colOff>161925</xdr:colOff>
          <xdr:row>17</xdr:row>
          <xdr:rowOff>57150</xdr:rowOff>
        </xdr:to>
        <xdr:sp macro="" textlink="">
          <xdr:nvSpPr>
            <xdr:cNvPr id="7181" name="Check Box 13" hidden="1">
              <a:extLst>
                <a:ext uri="{63B3BB69-23CF-44E3-9099-C40C66FF867C}">
                  <a14:compatExt spid="_x0000_s7181"/>
                </a:ext>
                <a:ext uri="{FF2B5EF4-FFF2-40B4-BE49-F238E27FC236}">
                  <a16:creationId xmlns:a16="http://schemas.microsoft.com/office/drawing/2014/main" id="{00000000-0008-0000-0200-00000D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TRUST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17</xdr:row>
          <xdr:rowOff>47625</xdr:rowOff>
        </xdr:from>
        <xdr:to>
          <xdr:col>13</xdr:col>
          <xdr:colOff>295275</xdr:colOff>
          <xdr:row>19</xdr:row>
          <xdr:rowOff>19050</xdr:rowOff>
        </xdr:to>
        <xdr:sp macro="" textlink="">
          <xdr:nvSpPr>
            <xdr:cNvPr id="7184" name="Check Box 16" descr="SMALL BUSINESS Checkbox" hidden="1">
              <a:extLst>
                <a:ext uri="{63B3BB69-23CF-44E3-9099-C40C66FF867C}">
                  <a14:compatExt spid="_x0000_s7184"/>
                </a:ext>
                <a:ext uri="{FF2B5EF4-FFF2-40B4-BE49-F238E27FC236}">
                  <a16:creationId xmlns:a16="http://schemas.microsoft.com/office/drawing/2014/main" id="{00000000-0008-0000-0200-000010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SMALL BUSINESS (Receipts from all sources &lt; $500,000)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13</xdr:row>
          <xdr:rowOff>0</xdr:rowOff>
        </xdr:from>
        <xdr:to>
          <xdr:col>11</xdr:col>
          <xdr:colOff>190500</xdr:colOff>
          <xdr:row>14</xdr:row>
          <xdr:rowOff>28575</xdr:rowOff>
        </xdr:to>
        <xdr:sp macro="" textlink="">
          <xdr:nvSpPr>
            <xdr:cNvPr id="7186" name="Check Box 18" descr="Consolidated filer with 80% ownership of a Pass-Through Entity" hidden="1">
              <a:extLst>
                <a:ext uri="{63B3BB69-23CF-44E3-9099-C40C66FF867C}">
                  <a14:compatExt spid="_x0000_s7186"/>
                </a:ext>
                <a:ext uri="{FF2B5EF4-FFF2-40B4-BE49-F238E27FC236}">
                  <a16:creationId xmlns:a16="http://schemas.microsoft.com/office/drawing/2014/main" id="{00000000-0008-0000-0200-00001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Consolidated filer with 80% ownership of a Pass-Through Entity (see instructions)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8</xdr:row>
          <xdr:rowOff>114300</xdr:rowOff>
        </xdr:from>
        <xdr:to>
          <xdr:col>13</xdr:col>
          <xdr:colOff>438150</xdr:colOff>
          <xdr:row>11</xdr:row>
          <xdr:rowOff>28575</xdr:rowOff>
        </xdr:to>
        <xdr:sp macro="" textlink="">
          <xdr:nvSpPr>
            <xdr:cNvPr id="7187" name="Check Box 19" hidden="1">
              <a:extLst>
                <a:ext uri="{63B3BB69-23CF-44E3-9099-C40C66FF867C}">
                  <a14:compatExt spid="_x0000_s7187"/>
                </a:ext>
                <a:ext uri="{FF2B5EF4-FFF2-40B4-BE49-F238E27FC236}">
                  <a16:creationId xmlns:a16="http://schemas.microsoft.com/office/drawing/2014/main" id="{00000000-0008-0000-0200-00001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Extension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276225</xdr:colOff>
          <xdr:row>10</xdr:row>
          <xdr:rowOff>133350</xdr:rowOff>
        </xdr:from>
        <xdr:to>
          <xdr:col>8</xdr:col>
          <xdr:colOff>142875</xdr:colOff>
          <xdr:row>12</xdr:row>
          <xdr:rowOff>19050</xdr:rowOff>
        </xdr:to>
        <xdr:sp macro="" textlink="">
          <xdr:nvSpPr>
            <xdr:cNvPr id="7188" name="Check Box 20" hidden="1">
              <a:extLst>
                <a:ext uri="{63B3BB69-23CF-44E3-9099-C40C66FF867C}">
                  <a14:compatExt spid="_x0000_s7188"/>
                </a:ext>
                <a:ext uri="{FF2B5EF4-FFF2-40B4-BE49-F238E27FC236}">
                  <a16:creationId xmlns:a16="http://schemas.microsoft.com/office/drawing/2014/main" id="{00000000-0008-0000-0200-00001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Alternate Method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133350</xdr:colOff>
          <xdr:row>38</xdr:row>
          <xdr:rowOff>180975</xdr:rowOff>
        </xdr:from>
        <xdr:to>
          <xdr:col>10</xdr:col>
          <xdr:colOff>361950</xdr:colOff>
          <xdr:row>40</xdr:row>
          <xdr:rowOff>19050</xdr:rowOff>
        </xdr:to>
        <xdr:sp macro="" textlink="">
          <xdr:nvSpPr>
            <xdr:cNvPr id="7190" name="Check Box 22" hidden="1">
              <a:extLst>
                <a:ext uri="{63B3BB69-23CF-44E3-9099-C40C66FF867C}">
                  <a14:compatExt spid="_x0000_s7190"/>
                </a:ext>
                <a:ext uri="{FF2B5EF4-FFF2-40B4-BE49-F238E27FC236}">
                  <a16:creationId xmlns:a16="http://schemas.microsoft.com/office/drawing/2014/main" id="{00000000-0008-0000-0200-00001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124</xdr:row>
          <xdr:rowOff>104775</xdr:rowOff>
        </xdr:from>
        <xdr:to>
          <xdr:col>7</xdr:col>
          <xdr:colOff>228600</xdr:colOff>
          <xdr:row>126</xdr:row>
          <xdr:rowOff>28575</xdr:rowOff>
        </xdr:to>
        <xdr:sp macro="" textlink="">
          <xdr:nvSpPr>
            <xdr:cNvPr id="7191" name="Check Box 23" hidden="1">
              <a:extLst>
                <a:ext uri="{63B3BB69-23CF-44E3-9099-C40C66FF867C}">
                  <a14:compatExt spid="_x0000_s7191"/>
                </a:ext>
                <a:ext uri="{FF2B5EF4-FFF2-40B4-BE49-F238E27FC236}">
                  <a16:creationId xmlns:a16="http://schemas.microsoft.com/office/drawing/2014/main" id="{00000000-0008-0000-0200-00001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209550</xdr:colOff>
          <xdr:row>124</xdr:row>
          <xdr:rowOff>104775</xdr:rowOff>
        </xdr:from>
        <xdr:to>
          <xdr:col>8</xdr:col>
          <xdr:colOff>66675</xdr:colOff>
          <xdr:row>126</xdr:row>
          <xdr:rowOff>28575</xdr:rowOff>
        </xdr:to>
        <xdr:sp macro="" textlink="">
          <xdr:nvSpPr>
            <xdr:cNvPr id="7194" name="Check Box 26" hidden="1">
              <a:extLst>
                <a:ext uri="{63B3BB69-23CF-44E3-9099-C40C66FF867C}">
                  <a14:compatExt spid="_x0000_s7194"/>
                </a:ext>
                <a:ext uri="{FF2B5EF4-FFF2-40B4-BE49-F238E27FC236}">
                  <a16:creationId xmlns:a16="http://schemas.microsoft.com/office/drawing/2014/main" id="{00000000-0008-0000-0200-00001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11</xdr:row>
          <xdr:rowOff>9525</xdr:rowOff>
        </xdr:from>
        <xdr:to>
          <xdr:col>1</xdr:col>
          <xdr:colOff>1924050</xdr:colOff>
          <xdr:row>11</xdr:row>
          <xdr:rowOff>209550</xdr:rowOff>
        </xdr:to>
        <xdr:sp macro="" textlink="">
          <xdr:nvSpPr>
            <xdr:cNvPr id="6145" name="Drop Down 1" hidden="1">
              <a:extLst>
                <a:ext uri="{63B3BB69-23CF-44E3-9099-C40C66FF867C}">
                  <a14:compatExt spid="_x0000_s6145"/>
                </a:ext>
                <a:ext uri="{FF2B5EF4-FFF2-40B4-BE49-F238E27FC236}">
                  <a16:creationId xmlns:a16="http://schemas.microsoft.com/office/drawing/2014/main" id="{00000000-0008-0000-0B00-000001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12</xdr:row>
          <xdr:rowOff>9525</xdr:rowOff>
        </xdr:from>
        <xdr:to>
          <xdr:col>1</xdr:col>
          <xdr:colOff>1924050</xdr:colOff>
          <xdr:row>12</xdr:row>
          <xdr:rowOff>209550</xdr:rowOff>
        </xdr:to>
        <xdr:sp macro="" textlink="">
          <xdr:nvSpPr>
            <xdr:cNvPr id="6146" name="Drop Down 2" hidden="1">
              <a:extLst>
                <a:ext uri="{63B3BB69-23CF-44E3-9099-C40C66FF867C}">
                  <a14:compatExt spid="_x0000_s6146"/>
                </a:ext>
                <a:ext uri="{FF2B5EF4-FFF2-40B4-BE49-F238E27FC236}">
                  <a16:creationId xmlns:a16="http://schemas.microsoft.com/office/drawing/2014/main" id="{00000000-0008-0000-0B00-000002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13</xdr:row>
          <xdr:rowOff>19050</xdr:rowOff>
        </xdr:from>
        <xdr:to>
          <xdr:col>1</xdr:col>
          <xdr:colOff>1924050</xdr:colOff>
          <xdr:row>13</xdr:row>
          <xdr:rowOff>219075</xdr:rowOff>
        </xdr:to>
        <xdr:sp macro="" textlink="">
          <xdr:nvSpPr>
            <xdr:cNvPr id="6147" name="Drop Down 3" hidden="1">
              <a:extLst>
                <a:ext uri="{63B3BB69-23CF-44E3-9099-C40C66FF867C}">
                  <a14:compatExt spid="_x0000_s6147"/>
                </a:ext>
                <a:ext uri="{FF2B5EF4-FFF2-40B4-BE49-F238E27FC236}">
                  <a16:creationId xmlns:a16="http://schemas.microsoft.com/office/drawing/2014/main" id="{00000000-0008-0000-0B00-000003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14</xdr:row>
          <xdr:rowOff>19050</xdr:rowOff>
        </xdr:from>
        <xdr:to>
          <xdr:col>1</xdr:col>
          <xdr:colOff>1924050</xdr:colOff>
          <xdr:row>14</xdr:row>
          <xdr:rowOff>219075</xdr:rowOff>
        </xdr:to>
        <xdr:sp macro="" textlink="">
          <xdr:nvSpPr>
            <xdr:cNvPr id="6148" name="Drop Down 4" hidden="1">
              <a:extLst>
                <a:ext uri="{63B3BB69-23CF-44E3-9099-C40C66FF867C}">
                  <a14:compatExt spid="_x0000_s6148"/>
                </a:ext>
                <a:ext uri="{FF2B5EF4-FFF2-40B4-BE49-F238E27FC236}">
                  <a16:creationId xmlns:a16="http://schemas.microsoft.com/office/drawing/2014/main" id="{00000000-0008-0000-0B00-000004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15</xdr:row>
          <xdr:rowOff>19050</xdr:rowOff>
        </xdr:from>
        <xdr:to>
          <xdr:col>1</xdr:col>
          <xdr:colOff>1924050</xdr:colOff>
          <xdr:row>15</xdr:row>
          <xdr:rowOff>219075</xdr:rowOff>
        </xdr:to>
        <xdr:sp macro="" textlink="">
          <xdr:nvSpPr>
            <xdr:cNvPr id="6149" name="Drop Down 5" hidden="1">
              <a:extLst>
                <a:ext uri="{63B3BB69-23CF-44E3-9099-C40C66FF867C}">
                  <a14:compatExt spid="_x0000_s6149"/>
                </a:ext>
                <a:ext uri="{FF2B5EF4-FFF2-40B4-BE49-F238E27FC236}">
                  <a16:creationId xmlns:a16="http://schemas.microsoft.com/office/drawing/2014/main" id="{00000000-0008-0000-0B00-000005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16</xdr:row>
          <xdr:rowOff>19050</xdr:rowOff>
        </xdr:from>
        <xdr:to>
          <xdr:col>1</xdr:col>
          <xdr:colOff>1924050</xdr:colOff>
          <xdr:row>16</xdr:row>
          <xdr:rowOff>219075</xdr:rowOff>
        </xdr:to>
        <xdr:sp macro="" textlink="">
          <xdr:nvSpPr>
            <xdr:cNvPr id="6150" name="Drop Down 6" hidden="1">
              <a:extLst>
                <a:ext uri="{63B3BB69-23CF-44E3-9099-C40C66FF867C}">
                  <a14:compatExt spid="_x0000_s6150"/>
                </a:ext>
                <a:ext uri="{FF2B5EF4-FFF2-40B4-BE49-F238E27FC236}">
                  <a16:creationId xmlns:a16="http://schemas.microsoft.com/office/drawing/2014/main" id="{00000000-0008-0000-0B00-000006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17</xdr:row>
          <xdr:rowOff>19050</xdr:rowOff>
        </xdr:from>
        <xdr:to>
          <xdr:col>1</xdr:col>
          <xdr:colOff>1924050</xdr:colOff>
          <xdr:row>17</xdr:row>
          <xdr:rowOff>219075</xdr:rowOff>
        </xdr:to>
        <xdr:sp macro="" textlink="">
          <xdr:nvSpPr>
            <xdr:cNvPr id="6151" name="Drop Down 7" hidden="1">
              <a:extLst>
                <a:ext uri="{63B3BB69-23CF-44E3-9099-C40C66FF867C}">
                  <a14:compatExt spid="_x0000_s6151"/>
                </a:ext>
                <a:ext uri="{FF2B5EF4-FFF2-40B4-BE49-F238E27FC236}">
                  <a16:creationId xmlns:a16="http://schemas.microsoft.com/office/drawing/2014/main" id="{00000000-0008-0000-0B00-000007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18</xdr:row>
          <xdr:rowOff>19050</xdr:rowOff>
        </xdr:from>
        <xdr:to>
          <xdr:col>1</xdr:col>
          <xdr:colOff>1924050</xdr:colOff>
          <xdr:row>18</xdr:row>
          <xdr:rowOff>219075</xdr:rowOff>
        </xdr:to>
        <xdr:sp macro="" textlink="">
          <xdr:nvSpPr>
            <xdr:cNvPr id="6152" name="Drop Down 8" hidden="1">
              <a:extLst>
                <a:ext uri="{63B3BB69-23CF-44E3-9099-C40C66FF867C}">
                  <a14:compatExt spid="_x0000_s6152"/>
                </a:ext>
                <a:ext uri="{FF2B5EF4-FFF2-40B4-BE49-F238E27FC236}">
                  <a16:creationId xmlns:a16="http://schemas.microsoft.com/office/drawing/2014/main" id="{00000000-0008-0000-0B00-000008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28575</xdr:rowOff>
        </xdr:from>
        <xdr:to>
          <xdr:col>1</xdr:col>
          <xdr:colOff>1924050</xdr:colOff>
          <xdr:row>20</xdr:row>
          <xdr:rowOff>0</xdr:rowOff>
        </xdr:to>
        <xdr:sp macro="" textlink="">
          <xdr:nvSpPr>
            <xdr:cNvPr id="6153" name="Drop Down 9" hidden="1">
              <a:extLst>
                <a:ext uri="{63B3BB69-23CF-44E3-9099-C40C66FF867C}">
                  <a14:compatExt spid="_x0000_s6153"/>
                </a:ext>
                <a:ext uri="{FF2B5EF4-FFF2-40B4-BE49-F238E27FC236}">
                  <a16:creationId xmlns:a16="http://schemas.microsoft.com/office/drawing/2014/main" id="{00000000-0008-0000-0B00-000009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20</xdr:row>
          <xdr:rowOff>19050</xdr:rowOff>
        </xdr:from>
        <xdr:to>
          <xdr:col>1</xdr:col>
          <xdr:colOff>1924050</xdr:colOff>
          <xdr:row>20</xdr:row>
          <xdr:rowOff>219075</xdr:rowOff>
        </xdr:to>
        <xdr:sp macro="" textlink="">
          <xdr:nvSpPr>
            <xdr:cNvPr id="6154" name="Drop Down 10" hidden="1">
              <a:extLst>
                <a:ext uri="{63B3BB69-23CF-44E3-9099-C40C66FF867C}">
                  <a14:compatExt spid="_x0000_s6154"/>
                </a:ext>
                <a:ext uri="{FF2B5EF4-FFF2-40B4-BE49-F238E27FC236}">
                  <a16:creationId xmlns:a16="http://schemas.microsoft.com/office/drawing/2014/main" id="{00000000-0008-0000-0B00-00000A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28575</xdr:rowOff>
        </xdr:from>
        <xdr:to>
          <xdr:col>1</xdr:col>
          <xdr:colOff>1924050</xdr:colOff>
          <xdr:row>22</xdr:row>
          <xdr:rowOff>0</xdr:rowOff>
        </xdr:to>
        <xdr:sp macro="" textlink="">
          <xdr:nvSpPr>
            <xdr:cNvPr id="6155" name="Drop Down 11" hidden="1">
              <a:extLst>
                <a:ext uri="{63B3BB69-23CF-44E3-9099-C40C66FF867C}">
                  <a14:compatExt spid="_x0000_s6155"/>
                </a:ext>
                <a:ext uri="{FF2B5EF4-FFF2-40B4-BE49-F238E27FC236}">
                  <a16:creationId xmlns:a16="http://schemas.microsoft.com/office/drawing/2014/main" id="{00000000-0008-0000-0B00-00000B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22</xdr:row>
          <xdr:rowOff>28575</xdr:rowOff>
        </xdr:from>
        <xdr:to>
          <xdr:col>1</xdr:col>
          <xdr:colOff>1924050</xdr:colOff>
          <xdr:row>23</xdr:row>
          <xdr:rowOff>0</xdr:rowOff>
        </xdr:to>
        <xdr:sp macro="" textlink="">
          <xdr:nvSpPr>
            <xdr:cNvPr id="6156" name="Drop Down 12" hidden="1">
              <a:extLst>
                <a:ext uri="{63B3BB69-23CF-44E3-9099-C40C66FF867C}">
                  <a14:compatExt spid="_x0000_s6156"/>
                </a:ext>
                <a:ext uri="{FF2B5EF4-FFF2-40B4-BE49-F238E27FC236}">
                  <a16:creationId xmlns:a16="http://schemas.microsoft.com/office/drawing/2014/main" id="{00000000-0008-0000-0B00-00000C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1</xdr:col>
          <xdr:colOff>1924050</xdr:colOff>
          <xdr:row>23</xdr:row>
          <xdr:rowOff>219075</xdr:rowOff>
        </xdr:to>
        <xdr:sp macro="" textlink="">
          <xdr:nvSpPr>
            <xdr:cNvPr id="6157" name="Drop Down 13" hidden="1">
              <a:extLst>
                <a:ext uri="{63B3BB69-23CF-44E3-9099-C40C66FF867C}">
                  <a14:compatExt spid="_x0000_s6157"/>
                </a:ext>
                <a:ext uri="{FF2B5EF4-FFF2-40B4-BE49-F238E27FC236}">
                  <a16:creationId xmlns:a16="http://schemas.microsoft.com/office/drawing/2014/main" id="{00000000-0008-0000-0B00-00000D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24</xdr:row>
          <xdr:rowOff>28575</xdr:rowOff>
        </xdr:from>
        <xdr:to>
          <xdr:col>1</xdr:col>
          <xdr:colOff>1924050</xdr:colOff>
          <xdr:row>25</xdr:row>
          <xdr:rowOff>0</xdr:rowOff>
        </xdr:to>
        <xdr:sp macro="" textlink="">
          <xdr:nvSpPr>
            <xdr:cNvPr id="6158" name="Drop Down 14" hidden="1">
              <a:extLst>
                <a:ext uri="{63B3BB69-23CF-44E3-9099-C40C66FF867C}">
                  <a14:compatExt spid="_x0000_s6158"/>
                </a:ext>
                <a:ext uri="{FF2B5EF4-FFF2-40B4-BE49-F238E27FC236}">
                  <a16:creationId xmlns:a16="http://schemas.microsoft.com/office/drawing/2014/main" id="{00000000-0008-0000-0B00-00000E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1</xdr:col>
          <xdr:colOff>1924050</xdr:colOff>
          <xdr:row>25</xdr:row>
          <xdr:rowOff>219075</xdr:rowOff>
        </xdr:to>
        <xdr:sp macro="" textlink="">
          <xdr:nvSpPr>
            <xdr:cNvPr id="6159" name="Drop Down 15" hidden="1">
              <a:extLst>
                <a:ext uri="{63B3BB69-23CF-44E3-9099-C40C66FF867C}">
                  <a14:compatExt spid="_x0000_s6159"/>
                </a:ext>
                <a:ext uri="{FF2B5EF4-FFF2-40B4-BE49-F238E27FC236}">
                  <a16:creationId xmlns:a16="http://schemas.microsoft.com/office/drawing/2014/main" id="{00000000-0008-0000-0B00-00000F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26</xdr:row>
          <xdr:rowOff>19050</xdr:rowOff>
        </xdr:from>
        <xdr:to>
          <xdr:col>1</xdr:col>
          <xdr:colOff>1924050</xdr:colOff>
          <xdr:row>26</xdr:row>
          <xdr:rowOff>219075</xdr:rowOff>
        </xdr:to>
        <xdr:sp macro="" textlink="">
          <xdr:nvSpPr>
            <xdr:cNvPr id="6160" name="Drop Down 16" hidden="1">
              <a:extLst>
                <a:ext uri="{63B3BB69-23CF-44E3-9099-C40C66FF867C}">
                  <a14:compatExt spid="_x0000_s6160"/>
                </a:ext>
                <a:ext uri="{FF2B5EF4-FFF2-40B4-BE49-F238E27FC236}">
                  <a16:creationId xmlns:a16="http://schemas.microsoft.com/office/drawing/2014/main" id="{00000000-0008-0000-0B00-000010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1</xdr:col>
          <xdr:colOff>1924050</xdr:colOff>
          <xdr:row>27</xdr:row>
          <xdr:rowOff>219075</xdr:rowOff>
        </xdr:to>
        <xdr:sp macro="" textlink="">
          <xdr:nvSpPr>
            <xdr:cNvPr id="6161" name="Drop Down 17" hidden="1">
              <a:extLst>
                <a:ext uri="{63B3BB69-23CF-44E3-9099-C40C66FF867C}">
                  <a14:compatExt spid="_x0000_s6161"/>
                </a:ext>
                <a:ext uri="{FF2B5EF4-FFF2-40B4-BE49-F238E27FC236}">
                  <a16:creationId xmlns:a16="http://schemas.microsoft.com/office/drawing/2014/main" id="{00000000-0008-0000-0B00-000011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28</xdr:row>
          <xdr:rowOff>19050</xdr:rowOff>
        </xdr:from>
        <xdr:to>
          <xdr:col>1</xdr:col>
          <xdr:colOff>1924050</xdr:colOff>
          <xdr:row>28</xdr:row>
          <xdr:rowOff>219075</xdr:rowOff>
        </xdr:to>
        <xdr:sp macro="" textlink="">
          <xdr:nvSpPr>
            <xdr:cNvPr id="6162" name="Drop Down 18" hidden="1">
              <a:extLst>
                <a:ext uri="{63B3BB69-23CF-44E3-9099-C40C66FF867C}">
                  <a14:compatExt spid="_x0000_s6162"/>
                </a:ext>
                <a:ext uri="{FF2B5EF4-FFF2-40B4-BE49-F238E27FC236}">
                  <a16:creationId xmlns:a16="http://schemas.microsoft.com/office/drawing/2014/main" id="{00000000-0008-0000-0B00-000012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1</xdr:col>
          <xdr:colOff>1924050</xdr:colOff>
          <xdr:row>29</xdr:row>
          <xdr:rowOff>219075</xdr:rowOff>
        </xdr:to>
        <xdr:sp macro="" textlink="">
          <xdr:nvSpPr>
            <xdr:cNvPr id="6163" name="Drop Down 19" hidden="1">
              <a:extLst>
                <a:ext uri="{63B3BB69-23CF-44E3-9099-C40C66FF867C}">
                  <a14:compatExt spid="_x0000_s6163"/>
                </a:ext>
                <a:ext uri="{FF2B5EF4-FFF2-40B4-BE49-F238E27FC236}">
                  <a16:creationId xmlns:a16="http://schemas.microsoft.com/office/drawing/2014/main" id="{00000000-0008-0000-0B00-000013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30</xdr:row>
          <xdr:rowOff>19050</xdr:rowOff>
        </xdr:from>
        <xdr:to>
          <xdr:col>1</xdr:col>
          <xdr:colOff>1924050</xdr:colOff>
          <xdr:row>30</xdr:row>
          <xdr:rowOff>219075</xdr:rowOff>
        </xdr:to>
        <xdr:sp macro="" textlink="">
          <xdr:nvSpPr>
            <xdr:cNvPr id="6164" name="Drop Down 20" hidden="1">
              <a:extLst>
                <a:ext uri="{63B3BB69-23CF-44E3-9099-C40C66FF867C}">
                  <a14:compatExt spid="_x0000_s6164"/>
                </a:ext>
                <a:ext uri="{FF2B5EF4-FFF2-40B4-BE49-F238E27FC236}">
                  <a16:creationId xmlns:a16="http://schemas.microsoft.com/office/drawing/2014/main" id="{00000000-0008-0000-0B00-000014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31</xdr:row>
          <xdr:rowOff>19050</xdr:rowOff>
        </xdr:from>
        <xdr:to>
          <xdr:col>1</xdr:col>
          <xdr:colOff>1924050</xdr:colOff>
          <xdr:row>31</xdr:row>
          <xdr:rowOff>219075</xdr:rowOff>
        </xdr:to>
        <xdr:sp macro="" textlink="">
          <xdr:nvSpPr>
            <xdr:cNvPr id="6165" name="Drop Down 21" hidden="1">
              <a:extLst>
                <a:ext uri="{63B3BB69-23CF-44E3-9099-C40C66FF867C}">
                  <a14:compatExt spid="_x0000_s6165"/>
                </a:ext>
                <a:ext uri="{FF2B5EF4-FFF2-40B4-BE49-F238E27FC236}">
                  <a16:creationId xmlns:a16="http://schemas.microsoft.com/office/drawing/2014/main" id="{00000000-0008-0000-0B00-000015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32</xdr:row>
          <xdr:rowOff>19050</xdr:rowOff>
        </xdr:from>
        <xdr:to>
          <xdr:col>1</xdr:col>
          <xdr:colOff>1924050</xdr:colOff>
          <xdr:row>32</xdr:row>
          <xdr:rowOff>219075</xdr:rowOff>
        </xdr:to>
        <xdr:sp macro="" textlink="">
          <xdr:nvSpPr>
            <xdr:cNvPr id="6166" name="Drop Down 22" hidden="1">
              <a:extLst>
                <a:ext uri="{63B3BB69-23CF-44E3-9099-C40C66FF867C}">
                  <a14:compatExt spid="_x0000_s6166"/>
                </a:ext>
                <a:ext uri="{FF2B5EF4-FFF2-40B4-BE49-F238E27FC236}">
                  <a16:creationId xmlns:a16="http://schemas.microsoft.com/office/drawing/2014/main" id="{00000000-0008-0000-0B00-000016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33</xdr:row>
          <xdr:rowOff>19050</xdr:rowOff>
        </xdr:from>
        <xdr:to>
          <xdr:col>1</xdr:col>
          <xdr:colOff>1924050</xdr:colOff>
          <xdr:row>33</xdr:row>
          <xdr:rowOff>219075</xdr:rowOff>
        </xdr:to>
        <xdr:sp macro="" textlink="">
          <xdr:nvSpPr>
            <xdr:cNvPr id="6167" name="Drop Down 23" hidden="1">
              <a:extLst>
                <a:ext uri="{63B3BB69-23CF-44E3-9099-C40C66FF867C}">
                  <a14:compatExt spid="_x0000_s6167"/>
                </a:ext>
                <a:ext uri="{FF2B5EF4-FFF2-40B4-BE49-F238E27FC236}">
                  <a16:creationId xmlns:a16="http://schemas.microsoft.com/office/drawing/2014/main" id="{00000000-0008-0000-0B00-000017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34</xdr:row>
          <xdr:rowOff>19050</xdr:rowOff>
        </xdr:from>
        <xdr:to>
          <xdr:col>1</xdr:col>
          <xdr:colOff>1924050</xdr:colOff>
          <xdr:row>34</xdr:row>
          <xdr:rowOff>219075</xdr:rowOff>
        </xdr:to>
        <xdr:sp macro="" textlink="">
          <xdr:nvSpPr>
            <xdr:cNvPr id="6168" name="Drop Down 24" hidden="1">
              <a:extLst>
                <a:ext uri="{63B3BB69-23CF-44E3-9099-C40C66FF867C}">
                  <a14:compatExt spid="_x0000_s6168"/>
                </a:ext>
                <a:ext uri="{FF2B5EF4-FFF2-40B4-BE49-F238E27FC236}">
                  <a16:creationId xmlns:a16="http://schemas.microsoft.com/office/drawing/2014/main" id="{00000000-0008-0000-0B00-000018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35</xdr:row>
          <xdr:rowOff>19050</xdr:rowOff>
        </xdr:from>
        <xdr:to>
          <xdr:col>1</xdr:col>
          <xdr:colOff>1924050</xdr:colOff>
          <xdr:row>35</xdr:row>
          <xdr:rowOff>219075</xdr:rowOff>
        </xdr:to>
        <xdr:sp macro="" textlink="">
          <xdr:nvSpPr>
            <xdr:cNvPr id="6169" name="Drop Down 25" hidden="1">
              <a:extLst>
                <a:ext uri="{63B3BB69-23CF-44E3-9099-C40C66FF867C}">
                  <a14:compatExt spid="_x0000_s6169"/>
                </a:ext>
                <a:ext uri="{FF2B5EF4-FFF2-40B4-BE49-F238E27FC236}">
                  <a16:creationId xmlns:a16="http://schemas.microsoft.com/office/drawing/2014/main" id="{00000000-0008-0000-0B00-000019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36</xdr:row>
          <xdr:rowOff>19050</xdr:rowOff>
        </xdr:from>
        <xdr:to>
          <xdr:col>1</xdr:col>
          <xdr:colOff>1924050</xdr:colOff>
          <xdr:row>36</xdr:row>
          <xdr:rowOff>219075</xdr:rowOff>
        </xdr:to>
        <xdr:sp macro="" textlink="">
          <xdr:nvSpPr>
            <xdr:cNvPr id="6170" name="Drop Down 26" hidden="1">
              <a:extLst>
                <a:ext uri="{63B3BB69-23CF-44E3-9099-C40C66FF867C}">
                  <a14:compatExt spid="_x0000_s6170"/>
                </a:ext>
                <a:ext uri="{FF2B5EF4-FFF2-40B4-BE49-F238E27FC236}">
                  <a16:creationId xmlns:a16="http://schemas.microsoft.com/office/drawing/2014/main" id="{00000000-0008-0000-0B00-00001A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37</xdr:row>
          <xdr:rowOff>19050</xdr:rowOff>
        </xdr:from>
        <xdr:to>
          <xdr:col>1</xdr:col>
          <xdr:colOff>1924050</xdr:colOff>
          <xdr:row>37</xdr:row>
          <xdr:rowOff>219075</xdr:rowOff>
        </xdr:to>
        <xdr:sp macro="" textlink="">
          <xdr:nvSpPr>
            <xdr:cNvPr id="6171" name="Drop Down 27" hidden="1">
              <a:extLst>
                <a:ext uri="{63B3BB69-23CF-44E3-9099-C40C66FF867C}">
                  <a14:compatExt spid="_x0000_s6171"/>
                </a:ext>
                <a:ext uri="{FF2B5EF4-FFF2-40B4-BE49-F238E27FC236}">
                  <a16:creationId xmlns:a16="http://schemas.microsoft.com/office/drawing/2014/main" id="{00000000-0008-0000-0B00-00001B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1</xdr:col>
          <xdr:colOff>1924050</xdr:colOff>
          <xdr:row>38</xdr:row>
          <xdr:rowOff>219075</xdr:rowOff>
        </xdr:to>
        <xdr:sp macro="" textlink="">
          <xdr:nvSpPr>
            <xdr:cNvPr id="6172" name="Drop Down 28" hidden="1">
              <a:extLst>
                <a:ext uri="{63B3BB69-23CF-44E3-9099-C40C66FF867C}">
                  <a14:compatExt spid="_x0000_s6172"/>
                </a:ext>
                <a:ext uri="{FF2B5EF4-FFF2-40B4-BE49-F238E27FC236}">
                  <a16:creationId xmlns:a16="http://schemas.microsoft.com/office/drawing/2014/main" id="{00000000-0008-0000-0B00-00001C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39</xdr:row>
          <xdr:rowOff>19050</xdr:rowOff>
        </xdr:from>
        <xdr:to>
          <xdr:col>1</xdr:col>
          <xdr:colOff>1924050</xdr:colOff>
          <xdr:row>39</xdr:row>
          <xdr:rowOff>219075</xdr:rowOff>
        </xdr:to>
        <xdr:sp macro="" textlink="">
          <xdr:nvSpPr>
            <xdr:cNvPr id="6173" name="Drop Down 29" hidden="1">
              <a:extLst>
                <a:ext uri="{63B3BB69-23CF-44E3-9099-C40C66FF867C}">
                  <a14:compatExt spid="_x0000_s6173"/>
                </a:ext>
                <a:ext uri="{FF2B5EF4-FFF2-40B4-BE49-F238E27FC236}">
                  <a16:creationId xmlns:a16="http://schemas.microsoft.com/office/drawing/2014/main" id="{00000000-0008-0000-0B00-00001D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40</xdr:row>
          <xdr:rowOff>19050</xdr:rowOff>
        </xdr:from>
        <xdr:to>
          <xdr:col>1</xdr:col>
          <xdr:colOff>1924050</xdr:colOff>
          <xdr:row>40</xdr:row>
          <xdr:rowOff>219075</xdr:rowOff>
        </xdr:to>
        <xdr:sp macro="" textlink="">
          <xdr:nvSpPr>
            <xdr:cNvPr id="6174" name="Drop Down 30" hidden="1">
              <a:extLst>
                <a:ext uri="{63B3BB69-23CF-44E3-9099-C40C66FF867C}">
                  <a14:compatExt spid="_x0000_s6174"/>
                </a:ext>
                <a:ext uri="{FF2B5EF4-FFF2-40B4-BE49-F238E27FC236}">
                  <a16:creationId xmlns:a16="http://schemas.microsoft.com/office/drawing/2014/main" id="{00000000-0008-0000-0B00-00001E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41</xdr:row>
          <xdr:rowOff>19050</xdr:rowOff>
        </xdr:from>
        <xdr:to>
          <xdr:col>1</xdr:col>
          <xdr:colOff>1924050</xdr:colOff>
          <xdr:row>41</xdr:row>
          <xdr:rowOff>219075</xdr:rowOff>
        </xdr:to>
        <xdr:sp macro="" textlink="">
          <xdr:nvSpPr>
            <xdr:cNvPr id="6176" name="Drop Down 32" hidden="1">
              <a:extLst>
                <a:ext uri="{63B3BB69-23CF-44E3-9099-C40C66FF867C}">
                  <a14:compatExt spid="_x0000_s6176"/>
                </a:ext>
                <a:ext uri="{FF2B5EF4-FFF2-40B4-BE49-F238E27FC236}">
                  <a16:creationId xmlns:a16="http://schemas.microsoft.com/office/drawing/2014/main" id="{00000000-0008-0000-0B00-000020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42</xdr:row>
          <xdr:rowOff>19050</xdr:rowOff>
        </xdr:from>
        <xdr:to>
          <xdr:col>1</xdr:col>
          <xdr:colOff>1924050</xdr:colOff>
          <xdr:row>42</xdr:row>
          <xdr:rowOff>219075</xdr:rowOff>
        </xdr:to>
        <xdr:sp macro="" textlink="">
          <xdr:nvSpPr>
            <xdr:cNvPr id="6177" name="Drop Down 33" hidden="1">
              <a:extLst>
                <a:ext uri="{63B3BB69-23CF-44E3-9099-C40C66FF867C}">
                  <a14:compatExt spid="_x0000_s6177"/>
                </a:ext>
                <a:ext uri="{FF2B5EF4-FFF2-40B4-BE49-F238E27FC236}">
                  <a16:creationId xmlns:a16="http://schemas.microsoft.com/office/drawing/2014/main" id="{00000000-0008-0000-0B00-000021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43</xdr:row>
          <xdr:rowOff>19050</xdr:rowOff>
        </xdr:from>
        <xdr:to>
          <xdr:col>1</xdr:col>
          <xdr:colOff>1924050</xdr:colOff>
          <xdr:row>43</xdr:row>
          <xdr:rowOff>219075</xdr:rowOff>
        </xdr:to>
        <xdr:sp macro="" textlink="">
          <xdr:nvSpPr>
            <xdr:cNvPr id="6178" name="Drop Down 34" hidden="1">
              <a:extLst>
                <a:ext uri="{63B3BB69-23CF-44E3-9099-C40C66FF867C}">
                  <a14:compatExt spid="_x0000_s6178"/>
                </a:ext>
                <a:ext uri="{FF2B5EF4-FFF2-40B4-BE49-F238E27FC236}">
                  <a16:creationId xmlns:a16="http://schemas.microsoft.com/office/drawing/2014/main" id="{00000000-0008-0000-0B00-000022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44</xdr:row>
          <xdr:rowOff>19050</xdr:rowOff>
        </xdr:from>
        <xdr:to>
          <xdr:col>1</xdr:col>
          <xdr:colOff>1924050</xdr:colOff>
          <xdr:row>44</xdr:row>
          <xdr:rowOff>219075</xdr:rowOff>
        </xdr:to>
        <xdr:sp macro="" textlink="">
          <xdr:nvSpPr>
            <xdr:cNvPr id="6179" name="Drop Down 35" hidden="1">
              <a:extLst>
                <a:ext uri="{63B3BB69-23CF-44E3-9099-C40C66FF867C}">
                  <a14:compatExt spid="_x0000_s6179"/>
                </a:ext>
                <a:ext uri="{FF2B5EF4-FFF2-40B4-BE49-F238E27FC236}">
                  <a16:creationId xmlns:a16="http://schemas.microsoft.com/office/drawing/2014/main" id="{00000000-0008-0000-0B00-000023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45</xdr:row>
          <xdr:rowOff>19050</xdr:rowOff>
        </xdr:from>
        <xdr:to>
          <xdr:col>1</xdr:col>
          <xdr:colOff>1924050</xdr:colOff>
          <xdr:row>45</xdr:row>
          <xdr:rowOff>219075</xdr:rowOff>
        </xdr:to>
        <xdr:sp macro="" textlink="">
          <xdr:nvSpPr>
            <xdr:cNvPr id="6180" name="Drop Down 36" hidden="1">
              <a:extLst>
                <a:ext uri="{63B3BB69-23CF-44E3-9099-C40C66FF867C}">
                  <a14:compatExt spid="_x0000_s6180"/>
                </a:ext>
                <a:ext uri="{FF2B5EF4-FFF2-40B4-BE49-F238E27FC236}">
                  <a16:creationId xmlns:a16="http://schemas.microsoft.com/office/drawing/2014/main" id="{00000000-0008-0000-0B00-000024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1</xdr:col>
          <xdr:colOff>1924050</xdr:colOff>
          <xdr:row>46</xdr:row>
          <xdr:rowOff>219075</xdr:rowOff>
        </xdr:to>
        <xdr:sp macro="" textlink="">
          <xdr:nvSpPr>
            <xdr:cNvPr id="6181" name="Drop Down 37" hidden="1">
              <a:extLst>
                <a:ext uri="{63B3BB69-23CF-44E3-9099-C40C66FF867C}">
                  <a14:compatExt spid="_x0000_s6181"/>
                </a:ext>
                <a:ext uri="{FF2B5EF4-FFF2-40B4-BE49-F238E27FC236}">
                  <a16:creationId xmlns:a16="http://schemas.microsoft.com/office/drawing/2014/main" id="{00000000-0008-0000-0B00-000025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47</xdr:row>
          <xdr:rowOff>19050</xdr:rowOff>
        </xdr:from>
        <xdr:to>
          <xdr:col>1</xdr:col>
          <xdr:colOff>1924050</xdr:colOff>
          <xdr:row>47</xdr:row>
          <xdr:rowOff>219075</xdr:rowOff>
        </xdr:to>
        <xdr:sp macro="" textlink="">
          <xdr:nvSpPr>
            <xdr:cNvPr id="6182" name="Drop Down 38" hidden="1">
              <a:extLst>
                <a:ext uri="{63B3BB69-23CF-44E3-9099-C40C66FF867C}">
                  <a14:compatExt spid="_x0000_s6182"/>
                </a:ext>
                <a:ext uri="{FF2B5EF4-FFF2-40B4-BE49-F238E27FC236}">
                  <a16:creationId xmlns:a16="http://schemas.microsoft.com/office/drawing/2014/main" id="{00000000-0008-0000-0B00-000026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1</xdr:col>
          <xdr:colOff>1924050</xdr:colOff>
          <xdr:row>48</xdr:row>
          <xdr:rowOff>219075</xdr:rowOff>
        </xdr:to>
        <xdr:sp macro="" textlink="">
          <xdr:nvSpPr>
            <xdr:cNvPr id="6183" name="Drop Down 39" hidden="1">
              <a:extLst>
                <a:ext uri="{63B3BB69-23CF-44E3-9099-C40C66FF867C}">
                  <a14:compatExt spid="_x0000_s6183"/>
                </a:ext>
                <a:ext uri="{FF2B5EF4-FFF2-40B4-BE49-F238E27FC236}">
                  <a16:creationId xmlns:a16="http://schemas.microsoft.com/office/drawing/2014/main" id="{00000000-0008-0000-0B00-000027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49</xdr:row>
          <xdr:rowOff>19050</xdr:rowOff>
        </xdr:from>
        <xdr:to>
          <xdr:col>1</xdr:col>
          <xdr:colOff>1924050</xdr:colOff>
          <xdr:row>49</xdr:row>
          <xdr:rowOff>219075</xdr:rowOff>
        </xdr:to>
        <xdr:sp macro="" textlink="">
          <xdr:nvSpPr>
            <xdr:cNvPr id="6184" name="Drop Down 40" hidden="1">
              <a:extLst>
                <a:ext uri="{63B3BB69-23CF-44E3-9099-C40C66FF867C}">
                  <a14:compatExt spid="_x0000_s6184"/>
                </a:ext>
                <a:ext uri="{FF2B5EF4-FFF2-40B4-BE49-F238E27FC236}">
                  <a16:creationId xmlns:a16="http://schemas.microsoft.com/office/drawing/2014/main" id="{00000000-0008-0000-0B00-000028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1</xdr:col>
          <xdr:colOff>1924050</xdr:colOff>
          <xdr:row>50</xdr:row>
          <xdr:rowOff>219075</xdr:rowOff>
        </xdr:to>
        <xdr:sp macro="" textlink="">
          <xdr:nvSpPr>
            <xdr:cNvPr id="6185" name="Drop Down 41" hidden="1">
              <a:extLst>
                <a:ext uri="{63B3BB69-23CF-44E3-9099-C40C66FF867C}">
                  <a14:compatExt spid="_x0000_s6185"/>
                </a:ext>
                <a:ext uri="{FF2B5EF4-FFF2-40B4-BE49-F238E27FC236}">
                  <a16:creationId xmlns:a16="http://schemas.microsoft.com/office/drawing/2014/main" id="{00000000-0008-0000-0B00-000029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51</xdr:row>
          <xdr:rowOff>19050</xdr:rowOff>
        </xdr:from>
        <xdr:to>
          <xdr:col>1</xdr:col>
          <xdr:colOff>1924050</xdr:colOff>
          <xdr:row>51</xdr:row>
          <xdr:rowOff>219075</xdr:rowOff>
        </xdr:to>
        <xdr:sp macro="" textlink="">
          <xdr:nvSpPr>
            <xdr:cNvPr id="6186" name="Drop Down 42" hidden="1">
              <a:extLst>
                <a:ext uri="{63B3BB69-23CF-44E3-9099-C40C66FF867C}">
                  <a14:compatExt spid="_x0000_s6186"/>
                </a:ext>
                <a:ext uri="{FF2B5EF4-FFF2-40B4-BE49-F238E27FC236}">
                  <a16:creationId xmlns:a16="http://schemas.microsoft.com/office/drawing/2014/main" id="{00000000-0008-0000-0B00-00002A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1</xdr:col>
          <xdr:colOff>1924050</xdr:colOff>
          <xdr:row>52</xdr:row>
          <xdr:rowOff>219075</xdr:rowOff>
        </xdr:to>
        <xdr:sp macro="" textlink="">
          <xdr:nvSpPr>
            <xdr:cNvPr id="6187" name="Drop Down 43" hidden="1">
              <a:extLst>
                <a:ext uri="{63B3BB69-23CF-44E3-9099-C40C66FF867C}">
                  <a14:compatExt spid="_x0000_s6187"/>
                </a:ext>
                <a:ext uri="{FF2B5EF4-FFF2-40B4-BE49-F238E27FC236}">
                  <a16:creationId xmlns:a16="http://schemas.microsoft.com/office/drawing/2014/main" id="{00000000-0008-0000-0B00-00002B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53</xdr:row>
          <xdr:rowOff>19050</xdr:rowOff>
        </xdr:from>
        <xdr:to>
          <xdr:col>1</xdr:col>
          <xdr:colOff>1924050</xdr:colOff>
          <xdr:row>53</xdr:row>
          <xdr:rowOff>219075</xdr:rowOff>
        </xdr:to>
        <xdr:sp macro="" textlink="">
          <xdr:nvSpPr>
            <xdr:cNvPr id="6188" name="Drop Down 44" hidden="1">
              <a:extLst>
                <a:ext uri="{63B3BB69-23CF-44E3-9099-C40C66FF867C}">
                  <a14:compatExt spid="_x0000_s6188"/>
                </a:ext>
                <a:ext uri="{FF2B5EF4-FFF2-40B4-BE49-F238E27FC236}">
                  <a16:creationId xmlns:a16="http://schemas.microsoft.com/office/drawing/2014/main" id="{00000000-0008-0000-0B00-00002C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1</xdr:col>
          <xdr:colOff>1924050</xdr:colOff>
          <xdr:row>54</xdr:row>
          <xdr:rowOff>219075</xdr:rowOff>
        </xdr:to>
        <xdr:sp macro="" textlink="">
          <xdr:nvSpPr>
            <xdr:cNvPr id="6189" name="Drop Down 45" hidden="1">
              <a:extLst>
                <a:ext uri="{63B3BB69-23CF-44E3-9099-C40C66FF867C}">
                  <a14:compatExt spid="_x0000_s6189"/>
                </a:ext>
                <a:ext uri="{FF2B5EF4-FFF2-40B4-BE49-F238E27FC236}">
                  <a16:creationId xmlns:a16="http://schemas.microsoft.com/office/drawing/2014/main" id="{00000000-0008-0000-0B00-00002D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55</xdr:row>
          <xdr:rowOff>19050</xdr:rowOff>
        </xdr:from>
        <xdr:to>
          <xdr:col>1</xdr:col>
          <xdr:colOff>1924050</xdr:colOff>
          <xdr:row>55</xdr:row>
          <xdr:rowOff>219075</xdr:rowOff>
        </xdr:to>
        <xdr:sp macro="" textlink="">
          <xdr:nvSpPr>
            <xdr:cNvPr id="6190" name="Drop Down 46" hidden="1">
              <a:extLst>
                <a:ext uri="{63B3BB69-23CF-44E3-9099-C40C66FF867C}">
                  <a14:compatExt spid="_x0000_s6190"/>
                </a:ext>
                <a:ext uri="{FF2B5EF4-FFF2-40B4-BE49-F238E27FC236}">
                  <a16:creationId xmlns:a16="http://schemas.microsoft.com/office/drawing/2014/main" id="{00000000-0008-0000-0B00-00002E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247650</xdr:colOff>
          <xdr:row>59</xdr:row>
          <xdr:rowOff>0</xdr:rowOff>
        </xdr:from>
        <xdr:to>
          <xdr:col>10</xdr:col>
          <xdr:colOff>476250</xdr:colOff>
          <xdr:row>60</xdr:row>
          <xdr:rowOff>9525</xdr:rowOff>
        </xdr:to>
        <xdr:sp macro="" textlink="">
          <xdr:nvSpPr>
            <xdr:cNvPr id="6201" name="Check Box 57" hidden="1">
              <a:extLst>
                <a:ext uri="{63B3BB69-23CF-44E3-9099-C40C66FF867C}">
                  <a14:compatExt spid="_x0000_s6201"/>
                </a:ext>
                <a:ext uri="{FF2B5EF4-FFF2-40B4-BE49-F238E27FC236}">
                  <a16:creationId xmlns:a16="http://schemas.microsoft.com/office/drawing/2014/main" id="{00000000-0008-0000-0B00-00003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11</xdr:row>
          <xdr:rowOff>9525</xdr:rowOff>
        </xdr:from>
        <xdr:to>
          <xdr:col>1</xdr:col>
          <xdr:colOff>1924050</xdr:colOff>
          <xdr:row>11</xdr:row>
          <xdr:rowOff>209550</xdr:rowOff>
        </xdr:to>
        <xdr:sp macro="" textlink="">
          <xdr:nvSpPr>
            <xdr:cNvPr id="9217" name="Drop Down 1" hidden="1">
              <a:extLst>
                <a:ext uri="{63B3BB69-23CF-44E3-9099-C40C66FF867C}">
                  <a14:compatExt spid="_x0000_s9217"/>
                </a:ext>
                <a:ext uri="{FF2B5EF4-FFF2-40B4-BE49-F238E27FC236}">
                  <a16:creationId xmlns:a16="http://schemas.microsoft.com/office/drawing/2014/main" id="{00000000-0008-0000-0D00-000001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12</xdr:row>
          <xdr:rowOff>9525</xdr:rowOff>
        </xdr:from>
        <xdr:to>
          <xdr:col>1</xdr:col>
          <xdr:colOff>1924050</xdr:colOff>
          <xdr:row>12</xdr:row>
          <xdr:rowOff>209550</xdr:rowOff>
        </xdr:to>
        <xdr:sp macro="" textlink="">
          <xdr:nvSpPr>
            <xdr:cNvPr id="9218" name="Drop Down 2" hidden="1">
              <a:extLst>
                <a:ext uri="{63B3BB69-23CF-44E3-9099-C40C66FF867C}">
                  <a14:compatExt spid="_x0000_s9218"/>
                </a:ext>
                <a:ext uri="{FF2B5EF4-FFF2-40B4-BE49-F238E27FC236}">
                  <a16:creationId xmlns:a16="http://schemas.microsoft.com/office/drawing/2014/main" id="{00000000-0008-0000-0D00-000002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13</xdr:row>
          <xdr:rowOff>19050</xdr:rowOff>
        </xdr:from>
        <xdr:to>
          <xdr:col>1</xdr:col>
          <xdr:colOff>1924050</xdr:colOff>
          <xdr:row>13</xdr:row>
          <xdr:rowOff>219075</xdr:rowOff>
        </xdr:to>
        <xdr:sp macro="" textlink="">
          <xdr:nvSpPr>
            <xdr:cNvPr id="9219" name="Drop Down 3" hidden="1">
              <a:extLst>
                <a:ext uri="{63B3BB69-23CF-44E3-9099-C40C66FF867C}">
                  <a14:compatExt spid="_x0000_s9219"/>
                </a:ext>
                <a:ext uri="{FF2B5EF4-FFF2-40B4-BE49-F238E27FC236}">
                  <a16:creationId xmlns:a16="http://schemas.microsoft.com/office/drawing/2014/main" id="{00000000-0008-0000-0D00-000003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14</xdr:row>
          <xdr:rowOff>19050</xdr:rowOff>
        </xdr:from>
        <xdr:to>
          <xdr:col>1</xdr:col>
          <xdr:colOff>1924050</xdr:colOff>
          <xdr:row>14</xdr:row>
          <xdr:rowOff>219075</xdr:rowOff>
        </xdr:to>
        <xdr:sp macro="" textlink="">
          <xdr:nvSpPr>
            <xdr:cNvPr id="9220" name="Drop Down 4" hidden="1">
              <a:extLst>
                <a:ext uri="{63B3BB69-23CF-44E3-9099-C40C66FF867C}">
                  <a14:compatExt spid="_x0000_s9220"/>
                </a:ext>
                <a:ext uri="{FF2B5EF4-FFF2-40B4-BE49-F238E27FC236}">
                  <a16:creationId xmlns:a16="http://schemas.microsoft.com/office/drawing/2014/main" id="{00000000-0008-0000-0D00-000004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15</xdr:row>
          <xdr:rowOff>19050</xdr:rowOff>
        </xdr:from>
        <xdr:to>
          <xdr:col>1</xdr:col>
          <xdr:colOff>1924050</xdr:colOff>
          <xdr:row>15</xdr:row>
          <xdr:rowOff>219075</xdr:rowOff>
        </xdr:to>
        <xdr:sp macro="" textlink="">
          <xdr:nvSpPr>
            <xdr:cNvPr id="9221" name="Drop Down 5" hidden="1">
              <a:extLst>
                <a:ext uri="{63B3BB69-23CF-44E3-9099-C40C66FF867C}">
                  <a14:compatExt spid="_x0000_s9221"/>
                </a:ext>
                <a:ext uri="{FF2B5EF4-FFF2-40B4-BE49-F238E27FC236}">
                  <a16:creationId xmlns:a16="http://schemas.microsoft.com/office/drawing/2014/main" id="{00000000-0008-0000-0D00-000005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16</xdr:row>
          <xdr:rowOff>19050</xdr:rowOff>
        </xdr:from>
        <xdr:to>
          <xdr:col>1</xdr:col>
          <xdr:colOff>1924050</xdr:colOff>
          <xdr:row>16</xdr:row>
          <xdr:rowOff>219075</xdr:rowOff>
        </xdr:to>
        <xdr:sp macro="" textlink="">
          <xdr:nvSpPr>
            <xdr:cNvPr id="9222" name="Drop Down 6" hidden="1">
              <a:extLst>
                <a:ext uri="{63B3BB69-23CF-44E3-9099-C40C66FF867C}">
                  <a14:compatExt spid="_x0000_s9222"/>
                </a:ext>
                <a:ext uri="{FF2B5EF4-FFF2-40B4-BE49-F238E27FC236}">
                  <a16:creationId xmlns:a16="http://schemas.microsoft.com/office/drawing/2014/main" id="{00000000-0008-0000-0D00-000006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17</xdr:row>
          <xdr:rowOff>19050</xdr:rowOff>
        </xdr:from>
        <xdr:to>
          <xdr:col>1</xdr:col>
          <xdr:colOff>1924050</xdr:colOff>
          <xdr:row>17</xdr:row>
          <xdr:rowOff>219075</xdr:rowOff>
        </xdr:to>
        <xdr:sp macro="" textlink="">
          <xdr:nvSpPr>
            <xdr:cNvPr id="9223" name="Drop Down 7" hidden="1">
              <a:extLst>
                <a:ext uri="{63B3BB69-23CF-44E3-9099-C40C66FF867C}">
                  <a14:compatExt spid="_x0000_s9223"/>
                </a:ext>
                <a:ext uri="{FF2B5EF4-FFF2-40B4-BE49-F238E27FC236}">
                  <a16:creationId xmlns:a16="http://schemas.microsoft.com/office/drawing/2014/main" id="{00000000-0008-0000-0D00-000007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18</xdr:row>
          <xdr:rowOff>19050</xdr:rowOff>
        </xdr:from>
        <xdr:to>
          <xdr:col>1</xdr:col>
          <xdr:colOff>1924050</xdr:colOff>
          <xdr:row>18</xdr:row>
          <xdr:rowOff>219075</xdr:rowOff>
        </xdr:to>
        <xdr:sp macro="" textlink="">
          <xdr:nvSpPr>
            <xdr:cNvPr id="9224" name="Drop Down 8" hidden="1">
              <a:extLst>
                <a:ext uri="{63B3BB69-23CF-44E3-9099-C40C66FF867C}">
                  <a14:compatExt spid="_x0000_s9224"/>
                </a:ext>
                <a:ext uri="{FF2B5EF4-FFF2-40B4-BE49-F238E27FC236}">
                  <a16:creationId xmlns:a16="http://schemas.microsoft.com/office/drawing/2014/main" id="{00000000-0008-0000-0D00-000008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28575</xdr:rowOff>
        </xdr:from>
        <xdr:to>
          <xdr:col>1</xdr:col>
          <xdr:colOff>1924050</xdr:colOff>
          <xdr:row>20</xdr:row>
          <xdr:rowOff>0</xdr:rowOff>
        </xdr:to>
        <xdr:sp macro="" textlink="">
          <xdr:nvSpPr>
            <xdr:cNvPr id="9225" name="Drop Down 9" hidden="1">
              <a:extLst>
                <a:ext uri="{63B3BB69-23CF-44E3-9099-C40C66FF867C}">
                  <a14:compatExt spid="_x0000_s9225"/>
                </a:ext>
                <a:ext uri="{FF2B5EF4-FFF2-40B4-BE49-F238E27FC236}">
                  <a16:creationId xmlns:a16="http://schemas.microsoft.com/office/drawing/2014/main" id="{00000000-0008-0000-0D00-000009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20</xdr:row>
          <xdr:rowOff>19050</xdr:rowOff>
        </xdr:from>
        <xdr:to>
          <xdr:col>1</xdr:col>
          <xdr:colOff>1924050</xdr:colOff>
          <xdr:row>20</xdr:row>
          <xdr:rowOff>219075</xdr:rowOff>
        </xdr:to>
        <xdr:sp macro="" textlink="">
          <xdr:nvSpPr>
            <xdr:cNvPr id="9226" name="Drop Down 10" hidden="1">
              <a:extLst>
                <a:ext uri="{63B3BB69-23CF-44E3-9099-C40C66FF867C}">
                  <a14:compatExt spid="_x0000_s9226"/>
                </a:ext>
                <a:ext uri="{FF2B5EF4-FFF2-40B4-BE49-F238E27FC236}">
                  <a16:creationId xmlns:a16="http://schemas.microsoft.com/office/drawing/2014/main" id="{00000000-0008-0000-0D00-00000A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28575</xdr:rowOff>
        </xdr:from>
        <xdr:to>
          <xdr:col>1</xdr:col>
          <xdr:colOff>1924050</xdr:colOff>
          <xdr:row>22</xdr:row>
          <xdr:rowOff>0</xdr:rowOff>
        </xdr:to>
        <xdr:sp macro="" textlink="">
          <xdr:nvSpPr>
            <xdr:cNvPr id="9227" name="Drop Down 11" hidden="1">
              <a:extLst>
                <a:ext uri="{63B3BB69-23CF-44E3-9099-C40C66FF867C}">
                  <a14:compatExt spid="_x0000_s9227"/>
                </a:ext>
                <a:ext uri="{FF2B5EF4-FFF2-40B4-BE49-F238E27FC236}">
                  <a16:creationId xmlns:a16="http://schemas.microsoft.com/office/drawing/2014/main" id="{00000000-0008-0000-0D00-00000B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22</xdr:row>
          <xdr:rowOff>28575</xdr:rowOff>
        </xdr:from>
        <xdr:to>
          <xdr:col>1</xdr:col>
          <xdr:colOff>1924050</xdr:colOff>
          <xdr:row>23</xdr:row>
          <xdr:rowOff>0</xdr:rowOff>
        </xdr:to>
        <xdr:sp macro="" textlink="">
          <xdr:nvSpPr>
            <xdr:cNvPr id="9228" name="Drop Down 12" hidden="1">
              <a:extLst>
                <a:ext uri="{63B3BB69-23CF-44E3-9099-C40C66FF867C}">
                  <a14:compatExt spid="_x0000_s9228"/>
                </a:ext>
                <a:ext uri="{FF2B5EF4-FFF2-40B4-BE49-F238E27FC236}">
                  <a16:creationId xmlns:a16="http://schemas.microsoft.com/office/drawing/2014/main" id="{00000000-0008-0000-0D00-00000C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1</xdr:col>
          <xdr:colOff>1924050</xdr:colOff>
          <xdr:row>23</xdr:row>
          <xdr:rowOff>219075</xdr:rowOff>
        </xdr:to>
        <xdr:sp macro="" textlink="">
          <xdr:nvSpPr>
            <xdr:cNvPr id="9229" name="Drop Down 13" hidden="1">
              <a:extLst>
                <a:ext uri="{63B3BB69-23CF-44E3-9099-C40C66FF867C}">
                  <a14:compatExt spid="_x0000_s9229"/>
                </a:ext>
                <a:ext uri="{FF2B5EF4-FFF2-40B4-BE49-F238E27FC236}">
                  <a16:creationId xmlns:a16="http://schemas.microsoft.com/office/drawing/2014/main" id="{00000000-0008-0000-0D00-00000D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24</xdr:row>
          <xdr:rowOff>28575</xdr:rowOff>
        </xdr:from>
        <xdr:to>
          <xdr:col>1</xdr:col>
          <xdr:colOff>1924050</xdr:colOff>
          <xdr:row>25</xdr:row>
          <xdr:rowOff>0</xdr:rowOff>
        </xdr:to>
        <xdr:sp macro="" textlink="">
          <xdr:nvSpPr>
            <xdr:cNvPr id="9230" name="Drop Down 14" hidden="1">
              <a:extLst>
                <a:ext uri="{63B3BB69-23CF-44E3-9099-C40C66FF867C}">
                  <a14:compatExt spid="_x0000_s9230"/>
                </a:ext>
                <a:ext uri="{FF2B5EF4-FFF2-40B4-BE49-F238E27FC236}">
                  <a16:creationId xmlns:a16="http://schemas.microsoft.com/office/drawing/2014/main" id="{00000000-0008-0000-0D00-00000E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1</xdr:col>
          <xdr:colOff>1924050</xdr:colOff>
          <xdr:row>25</xdr:row>
          <xdr:rowOff>219075</xdr:rowOff>
        </xdr:to>
        <xdr:sp macro="" textlink="">
          <xdr:nvSpPr>
            <xdr:cNvPr id="9231" name="Drop Down 15" hidden="1">
              <a:extLst>
                <a:ext uri="{63B3BB69-23CF-44E3-9099-C40C66FF867C}">
                  <a14:compatExt spid="_x0000_s9231"/>
                </a:ext>
                <a:ext uri="{FF2B5EF4-FFF2-40B4-BE49-F238E27FC236}">
                  <a16:creationId xmlns:a16="http://schemas.microsoft.com/office/drawing/2014/main" id="{00000000-0008-0000-0D00-00000F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26</xdr:row>
          <xdr:rowOff>19050</xdr:rowOff>
        </xdr:from>
        <xdr:to>
          <xdr:col>1</xdr:col>
          <xdr:colOff>1924050</xdr:colOff>
          <xdr:row>26</xdr:row>
          <xdr:rowOff>219075</xdr:rowOff>
        </xdr:to>
        <xdr:sp macro="" textlink="">
          <xdr:nvSpPr>
            <xdr:cNvPr id="9232" name="Drop Down 16" hidden="1">
              <a:extLst>
                <a:ext uri="{63B3BB69-23CF-44E3-9099-C40C66FF867C}">
                  <a14:compatExt spid="_x0000_s9232"/>
                </a:ext>
                <a:ext uri="{FF2B5EF4-FFF2-40B4-BE49-F238E27FC236}">
                  <a16:creationId xmlns:a16="http://schemas.microsoft.com/office/drawing/2014/main" id="{00000000-0008-0000-0D00-000010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1</xdr:col>
          <xdr:colOff>1924050</xdr:colOff>
          <xdr:row>27</xdr:row>
          <xdr:rowOff>219075</xdr:rowOff>
        </xdr:to>
        <xdr:sp macro="" textlink="">
          <xdr:nvSpPr>
            <xdr:cNvPr id="9233" name="Drop Down 17" hidden="1">
              <a:extLst>
                <a:ext uri="{63B3BB69-23CF-44E3-9099-C40C66FF867C}">
                  <a14:compatExt spid="_x0000_s9233"/>
                </a:ext>
                <a:ext uri="{FF2B5EF4-FFF2-40B4-BE49-F238E27FC236}">
                  <a16:creationId xmlns:a16="http://schemas.microsoft.com/office/drawing/2014/main" id="{00000000-0008-0000-0D00-000011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28</xdr:row>
          <xdr:rowOff>19050</xdr:rowOff>
        </xdr:from>
        <xdr:to>
          <xdr:col>1</xdr:col>
          <xdr:colOff>1924050</xdr:colOff>
          <xdr:row>28</xdr:row>
          <xdr:rowOff>219075</xdr:rowOff>
        </xdr:to>
        <xdr:sp macro="" textlink="">
          <xdr:nvSpPr>
            <xdr:cNvPr id="9234" name="Drop Down 18" hidden="1">
              <a:extLst>
                <a:ext uri="{63B3BB69-23CF-44E3-9099-C40C66FF867C}">
                  <a14:compatExt spid="_x0000_s9234"/>
                </a:ext>
                <a:ext uri="{FF2B5EF4-FFF2-40B4-BE49-F238E27FC236}">
                  <a16:creationId xmlns:a16="http://schemas.microsoft.com/office/drawing/2014/main" id="{00000000-0008-0000-0D00-000012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1</xdr:col>
          <xdr:colOff>1924050</xdr:colOff>
          <xdr:row>29</xdr:row>
          <xdr:rowOff>219075</xdr:rowOff>
        </xdr:to>
        <xdr:sp macro="" textlink="">
          <xdr:nvSpPr>
            <xdr:cNvPr id="9235" name="Drop Down 19" hidden="1">
              <a:extLst>
                <a:ext uri="{63B3BB69-23CF-44E3-9099-C40C66FF867C}">
                  <a14:compatExt spid="_x0000_s9235"/>
                </a:ext>
                <a:ext uri="{FF2B5EF4-FFF2-40B4-BE49-F238E27FC236}">
                  <a16:creationId xmlns:a16="http://schemas.microsoft.com/office/drawing/2014/main" id="{00000000-0008-0000-0D00-000013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30</xdr:row>
          <xdr:rowOff>19050</xdr:rowOff>
        </xdr:from>
        <xdr:to>
          <xdr:col>1</xdr:col>
          <xdr:colOff>1924050</xdr:colOff>
          <xdr:row>30</xdr:row>
          <xdr:rowOff>219075</xdr:rowOff>
        </xdr:to>
        <xdr:sp macro="" textlink="">
          <xdr:nvSpPr>
            <xdr:cNvPr id="9236" name="Drop Down 20" hidden="1">
              <a:extLst>
                <a:ext uri="{63B3BB69-23CF-44E3-9099-C40C66FF867C}">
                  <a14:compatExt spid="_x0000_s9236"/>
                </a:ext>
                <a:ext uri="{FF2B5EF4-FFF2-40B4-BE49-F238E27FC236}">
                  <a16:creationId xmlns:a16="http://schemas.microsoft.com/office/drawing/2014/main" id="{00000000-0008-0000-0D00-000014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31</xdr:row>
          <xdr:rowOff>19050</xdr:rowOff>
        </xdr:from>
        <xdr:to>
          <xdr:col>1</xdr:col>
          <xdr:colOff>1924050</xdr:colOff>
          <xdr:row>31</xdr:row>
          <xdr:rowOff>219075</xdr:rowOff>
        </xdr:to>
        <xdr:sp macro="" textlink="">
          <xdr:nvSpPr>
            <xdr:cNvPr id="9237" name="Drop Down 21" hidden="1">
              <a:extLst>
                <a:ext uri="{63B3BB69-23CF-44E3-9099-C40C66FF867C}">
                  <a14:compatExt spid="_x0000_s9237"/>
                </a:ext>
                <a:ext uri="{FF2B5EF4-FFF2-40B4-BE49-F238E27FC236}">
                  <a16:creationId xmlns:a16="http://schemas.microsoft.com/office/drawing/2014/main" id="{00000000-0008-0000-0D00-000015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32</xdr:row>
          <xdr:rowOff>19050</xdr:rowOff>
        </xdr:from>
        <xdr:to>
          <xdr:col>1</xdr:col>
          <xdr:colOff>1924050</xdr:colOff>
          <xdr:row>32</xdr:row>
          <xdr:rowOff>219075</xdr:rowOff>
        </xdr:to>
        <xdr:sp macro="" textlink="">
          <xdr:nvSpPr>
            <xdr:cNvPr id="9238" name="Drop Down 22" hidden="1">
              <a:extLst>
                <a:ext uri="{63B3BB69-23CF-44E3-9099-C40C66FF867C}">
                  <a14:compatExt spid="_x0000_s9238"/>
                </a:ext>
                <a:ext uri="{FF2B5EF4-FFF2-40B4-BE49-F238E27FC236}">
                  <a16:creationId xmlns:a16="http://schemas.microsoft.com/office/drawing/2014/main" id="{00000000-0008-0000-0D00-000016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33</xdr:row>
          <xdr:rowOff>19050</xdr:rowOff>
        </xdr:from>
        <xdr:to>
          <xdr:col>1</xdr:col>
          <xdr:colOff>1924050</xdr:colOff>
          <xdr:row>33</xdr:row>
          <xdr:rowOff>219075</xdr:rowOff>
        </xdr:to>
        <xdr:sp macro="" textlink="">
          <xdr:nvSpPr>
            <xdr:cNvPr id="9239" name="Drop Down 23" hidden="1">
              <a:extLst>
                <a:ext uri="{63B3BB69-23CF-44E3-9099-C40C66FF867C}">
                  <a14:compatExt spid="_x0000_s9239"/>
                </a:ext>
                <a:ext uri="{FF2B5EF4-FFF2-40B4-BE49-F238E27FC236}">
                  <a16:creationId xmlns:a16="http://schemas.microsoft.com/office/drawing/2014/main" id="{00000000-0008-0000-0D00-000017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34</xdr:row>
          <xdr:rowOff>19050</xdr:rowOff>
        </xdr:from>
        <xdr:to>
          <xdr:col>1</xdr:col>
          <xdr:colOff>1924050</xdr:colOff>
          <xdr:row>34</xdr:row>
          <xdr:rowOff>219075</xdr:rowOff>
        </xdr:to>
        <xdr:sp macro="" textlink="">
          <xdr:nvSpPr>
            <xdr:cNvPr id="9240" name="Drop Down 24" hidden="1">
              <a:extLst>
                <a:ext uri="{63B3BB69-23CF-44E3-9099-C40C66FF867C}">
                  <a14:compatExt spid="_x0000_s9240"/>
                </a:ext>
                <a:ext uri="{FF2B5EF4-FFF2-40B4-BE49-F238E27FC236}">
                  <a16:creationId xmlns:a16="http://schemas.microsoft.com/office/drawing/2014/main" id="{00000000-0008-0000-0D00-000018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35</xdr:row>
          <xdr:rowOff>19050</xdr:rowOff>
        </xdr:from>
        <xdr:to>
          <xdr:col>1</xdr:col>
          <xdr:colOff>1924050</xdr:colOff>
          <xdr:row>35</xdr:row>
          <xdr:rowOff>219075</xdr:rowOff>
        </xdr:to>
        <xdr:sp macro="" textlink="">
          <xdr:nvSpPr>
            <xdr:cNvPr id="9241" name="Drop Down 25" hidden="1">
              <a:extLst>
                <a:ext uri="{63B3BB69-23CF-44E3-9099-C40C66FF867C}">
                  <a14:compatExt spid="_x0000_s9241"/>
                </a:ext>
                <a:ext uri="{FF2B5EF4-FFF2-40B4-BE49-F238E27FC236}">
                  <a16:creationId xmlns:a16="http://schemas.microsoft.com/office/drawing/2014/main" id="{00000000-0008-0000-0D00-000019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36</xdr:row>
          <xdr:rowOff>19050</xdr:rowOff>
        </xdr:from>
        <xdr:to>
          <xdr:col>1</xdr:col>
          <xdr:colOff>1924050</xdr:colOff>
          <xdr:row>36</xdr:row>
          <xdr:rowOff>219075</xdr:rowOff>
        </xdr:to>
        <xdr:sp macro="" textlink="">
          <xdr:nvSpPr>
            <xdr:cNvPr id="9242" name="Drop Down 26" hidden="1">
              <a:extLst>
                <a:ext uri="{63B3BB69-23CF-44E3-9099-C40C66FF867C}">
                  <a14:compatExt spid="_x0000_s9242"/>
                </a:ext>
                <a:ext uri="{FF2B5EF4-FFF2-40B4-BE49-F238E27FC236}">
                  <a16:creationId xmlns:a16="http://schemas.microsoft.com/office/drawing/2014/main" id="{00000000-0008-0000-0D00-00001A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37</xdr:row>
          <xdr:rowOff>19050</xdr:rowOff>
        </xdr:from>
        <xdr:to>
          <xdr:col>1</xdr:col>
          <xdr:colOff>1924050</xdr:colOff>
          <xdr:row>37</xdr:row>
          <xdr:rowOff>219075</xdr:rowOff>
        </xdr:to>
        <xdr:sp macro="" textlink="">
          <xdr:nvSpPr>
            <xdr:cNvPr id="9243" name="Drop Down 27" hidden="1">
              <a:extLst>
                <a:ext uri="{63B3BB69-23CF-44E3-9099-C40C66FF867C}">
                  <a14:compatExt spid="_x0000_s9243"/>
                </a:ext>
                <a:ext uri="{FF2B5EF4-FFF2-40B4-BE49-F238E27FC236}">
                  <a16:creationId xmlns:a16="http://schemas.microsoft.com/office/drawing/2014/main" id="{00000000-0008-0000-0D00-00001B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1</xdr:col>
          <xdr:colOff>1924050</xdr:colOff>
          <xdr:row>38</xdr:row>
          <xdr:rowOff>219075</xdr:rowOff>
        </xdr:to>
        <xdr:sp macro="" textlink="">
          <xdr:nvSpPr>
            <xdr:cNvPr id="9244" name="Drop Down 28" hidden="1">
              <a:extLst>
                <a:ext uri="{63B3BB69-23CF-44E3-9099-C40C66FF867C}">
                  <a14:compatExt spid="_x0000_s9244"/>
                </a:ext>
                <a:ext uri="{FF2B5EF4-FFF2-40B4-BE49-F238E27FC236}">
                  <a16:creationId xmlns:a16="http://schemas.microsoft.com/office/drawing/2014/main" id="{00000000-0008-0000-0D00-00001C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39</xdr:row>
          <xdr:rowOff>19050</xdr:rowOff>
        </xdr:from>
        <xdr:to>
          <xdr:col>1</xdr:col>
          <xdr:colOff>1924050</xdr:colOff>
          <xdr:row>39</xdr:row>
          <xdr:rowOff>219075</xdr:rowOff>
        </xdr:to>
        <xdr:sp macro="" textlink="">
          <xdr:nvSpPr>
            <xdr:cNvPr id="9245" name="Drop Down 29" hidden="1">
              <a:extLst>
                <a:ext uri="{63B3BB69-23CF-44E3-9099-C40C66FF867C}">
                  <a14:compatExt spid="_x0000_s9245"/>
                </a:ext>
                <a:ext uri="{FF2B5EF4-FFF2-40B4-BE49-F238E27FC236}">
                  <a16:creationId xmlns:a16="http://schemas.microsoft.com/office/drawing/2014/main" id="{00000000-0008-0000-0D00-00001D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40</xdr:row>
          <xdr:rowOff>19050</xdr:rowOff>
        </xdr:from>
        <xdr:to>
          <xdr:col>1</xdr:col>
          <xdr:colOff>1924050</xdr:colOff>
          <xdr:row>40</xdr:row>
          <xdr:rowOff>219075</xdr:rowOff>
        </xdr:to>
        <xdr:sp macro="" textlink="">
          <xdr:nvSpPr>
            <xdr:cNvPr id="9246" name="Drop Down 30" hidden="1">
              <a:extLst>
                <a:ext uri="{63B3BB69-23CF-44E3-9099-C40C66FF867C}">
                  <a14:compatExt spid="_x0000_s9246"/>
                </a:ext>
                <a:ext uri="{FF2B5EF4-FFF2-40B4-BE49-F238E27FC236}">
                  <a16:creationId xmlns:a16="http://schemas.microsoft.com/office/drawing/2014/main" id="{00000000-0008-0000-0D00-00001E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41</xdr:row>
          <xdr:rowOff>19050</xdr:rowOff>
        </xdr:from>
        <xdr:to>
          <xdr:col>1</xdr:col>
          <xdr:colOff>1924050</xdr:colOff>
          <xdr:row>41</xdr:row>
          <xdr:rowOff>219075</xdr:rowOff>
        </xdr:to>
        <xdr:sp macro="" textlink="">
          <xdr:nvSpPr>
            <xdr:cNvPr id="9247" name="Drop Down 31" hidden="1">
              <a:extLst>
                <a:ext uri="{63B3BB69-23CF-44E3-9099-C40C66FF867C}">
                  <a14:compatExt spid="_x0000_s9247"/>
                </a:ext>
                <a:ext uri="{FF2B5EF4-FFF2-40B4-BE49-F238E27FC236}">
                  <a16:creationId xmlns:a16="http://schemas.microsoft.com/office/drawing/2014/main" id="{00000000-0008-0000-0D00-00001F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42</xdr:row>
          <xdr:rowOff>19050</xdr:rowOff>
        </xdr:from>
        <xdr:to>
          <xdr:col>1</xdr:col>
          <xdr:colOff>1924050</xdr:colOff>
          <xdr:row>42</xdr:row>
          <xdr:rowOff>219075</xdr:rowOff>
        </xdr:to>
        <xdr:sp macro="" textlink="">
          <xdr:nvSpPr>
            <xdr:cNvPr id="9248" name="Drop Down 32" hidden="1">
              <a:extLst>
                <a:ext uri="{63B3BB69-23CF-44E3-9099-C40C66FF867C}">
                  <a14:compatExt spid="_x0000_s9248"/>
                </a:ext>
                <a:ext uri="{FF2B5EF4-FFF2-40B4-BE49-F238E27FC236}">
                  <a16:creationId xmlns:a16="http://schemas.microsoft.com/office/drawing/2014/main" id="{00000000-0008-0000-0D00-000020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43</xdr:row>
          <xdr:rowOff>19050</xdr:rowOff>
        </xdr:from>
        <xdr:to>
          <xdr:col>1</xdr:col>
          <xdr:colOff>1924050</xdr:colOff>
          <xdr:row>43</xdr:row>
          <xdr:rowOff>219075</xdr:rowOff>
        </xdr:to>
        <xdr:sp macro="" textlink="">
          <xdr:nvSpPr>
            <xdr:cNvPr id="9249" name="Drop Down 33" hidden="1">
              <a:extLst>
                <a:ext uri="{63B3BB69-23CF-44E3-9099-C40C66FF867C}">
                  <a14:compatExt spid="_x0000_s9249"/>
                </a:ext>
                <a:ext uri="{FF2B5EF4-FFF2-40B4-BE49-F238E27FC236}">
                  <a16:creationId xmlns:a16="http://schemas.microsoft.com/office/drawing/2014/main" id="{00000000-0008-0000-0D00-000021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44</xdr:row>
          <xdr:rowOff>19050</xdr:rowOff>
        </xdr:from>
        <xdr:to>
          <xdr:col>1</xdr:col>
          <xdr:colOff>1924050</xdr:colOff>
          <xdr:row>44</xdr:row>
          <xdr:rowOff>219075</xdr:rowOff>
        </xdr:to>
        <xdr:sp macro="" textlink="">
          <xdr:nvSpPr>
            <xdr:cNvPr id="9250" name="Drop Down 34" hidden="1">
              <a:extLst>
                <a:ext uri="{63B3BB69-23CF-44E3-9099-C40C66FF867C}">
                  <a14:compatExt spid="_x0000_s9250"/>
                </a:ext>
                <a:ext uri="{FF2B5EF4-FFF2-40B4-BE49-F238E27FC236}">
                  <a16:creationId xmlns:a16="http://schemas.microsoft.com/office/drawing/2014/main" id="{00000000-0008-0000-0D00-000022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45</xdr:row>
          <xdr:rowOff>19050</xdr:rowOff>
        </xdr:from>
        <xdr:to>
          <xdr:col>1</xdr:col>
          <xdr:colOff>1924050</xdr:colOff>
          <xdr:row>45</xdr:row>
          <xdr:rowOff>219075</xdr:rowOff>
        </xdr:to>
        <xdr:sp macro="" textlink="">
          <xdr:nvSpPr>
            <xdr:cNvPr id="9251" name="Drop Down 35" hidden="1">
              <a:extLst>
                <a:ext uri="{63B3BB69-23CF-44E3-9099-C40C66FF867C}">
                  <a14:compatExt spid="_x0000_s9251"/>
                </a:ext>
                <a:ext uri="{FF2B5EF4-FFF2-40B4-BE49-F238E27FC236}">
                  <a16:creationId xmlns:a16="http://schemas.microsoft.com/office/drawing/2014/main" id="{00000000-0008-0000-0D00-000023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1</xdr:col>
          <xdr:colOff>1924050</xdr:colOff>
          <xdr:row>46</xdr:row>
          <xdr:rowOff>219075</xdr:rowOff>
        </xdr:to>
        <xdr:sp macro="" textlink="">
          <xdr:nvSpPr>
            <xdr:cNvPr id="9252" name="Drop Down 36" hidden="1">
              <a:extLst>
                <a:ext uri="{63B3BB69-23CF-44E3-9099-C40C66FF867C}">
                  <a14:compatExt spid="_x0000_s9252"/>
                </a:ext>
                <a:ext uri="{FF2B5EF4-FFF2-40B4-BE49-F238E27FC236}">
                  <a16:creationId xmlns:a16="http://schemas.microsoft.com/office/drawing/2014/main" id="{00000000-0008-0000-0D00-000024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47</xdr:row>
          <xdr:rowOff>19050</xdr:rowOff>
        </xdr:from>
        <xdr:to>
          <xdr:col>1</xdr:col>
          <xdr:colOff>1924050</xdr:colOff>
          <xdr:row>47</xdr:row>
          <xdr:rowOff>219075</xdr:rowOff>
        </xdr:to>
        <xdr:sp macro="" textlink="">
          <xdr:nvSpPr>
            <xdr:cNvPr id="9253" name="Drop Down 37" hidden="1">
              <a:extLst>
                <a:ext uri="{63B3BB69-23CF-44E3-9099-C40C66FF867C}">
                  <a14:compatExt spid="_x0000_s9253"/>
                </a:ext>
                <a:ext uri="{FF2B5EF4-FFF2-40B4-BE49-F238E27FC236}">
                  <a16:creationId xmlns:a16="http://schemas.microsoft.com/office/drawing/2014/main" id="{00000000-0008-0000-0D00-000025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1</xdr:col>
          <xdr:colOff>1924050</xdr:colOff>
          <xdr:row>48</xdr:row>
          <xdr:rowOff>219075</xdr:rowOff>
        </xdr:to>
        <xdr:sp macro="" textlink="">
          <xdr:nvSpPr>
            <xdr:cNvPr id="9254" name="Drop Down 38" hidden="1">
              <a:extLst>
                <a:ext uri="{63B3BB69-23CF-44E3-9099-C40C66FF867C}">
                  <a14:compatExt spid="_x0000_s9254"/>
                </a:ext>
                <a:ext uri="{FF2B5EF4-FFF2-40B4-BE49-F238E27FC236}">
                  <a16:creationId xmlns:a16="http://schemas.microsoft.com/office/drawing/2014/main" id="{00000000-0008-0000-0D00-000026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49</xdr:row>
          <xdr:rowOff>19050</xdr:rowOff>
        </xdr:from>
        <xdr:to>
          <xdr:col>1</xdr:col>
          <xdr:colOff>1924050</xdr:colOff>
          <xdr:row>49</xdr:row>
          <xdr:rowOff>219075</xdr:rowOff>
        </xdr:to>
        <xdr:sp macro="" textlink="">
          <xdr:nvSpPr>
            <xdr:cNvPr id="9255" name="Drop Down 39" hidden="1">
              <a:extLst>
                <a:ext uri="{63B3BB69-23CF-44E3-9099-C40C66FF867C}">
                  <a14:compatExt spid="_x0000_s9255"/>
                </a:ext>
                <a:ext uri="{FF2B5EF4-FFF2-40B4-BE49-F238E27FC236}">
                  <a16:creationId xmlns:a16="http://schemas.microsoft.com/office/drawing/2014/main" id="{00000000-0008-0000-0D00-000027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1</xdr:col>
          <xdr:colOff>1924050</xdr:colOff>
          <xdr:row>50</xdr:row>
          <xdr:rowOff>219075</xdr:rowOff>
        </xdr:to>
        <xdr:sp macro="" textlink="">
          <xdr:nvSpPr>
            <xdr:cNvPr id="9256" name="Drop Down 40" hidden="1">
              <a:extLst>
                <a:ext uri="{63B3BB69-23CF-44E3-9099-C40C66FF867C}">
                  <a14:compatExt spid="_x0000_s9256"/>
                </a:ext>
                <a:ext uri="{FF2B5EF4-FFF2-40B4-BE49-F238E27FC236}">
                  <a16:creationId xmlns:a16="http://schemas.microsoft.com/office/drawing/2014/main" id="{00000000-0008-0000-0D00-000028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51</xdr:row>
          <xdr:rowOff>19050</xdr:rowOff>
        </xdr:from>
        <xdr:to>
          <xdr:col>1</xdr:col>
          <xdr:colOff>1924050</xdr:colOff>
          <xdr:row>51</xdr:row>
          <xdr:rowOff>219075</xdr:rowOff>
        </xdr:to>
        <xdr:sp macro="" textlink="">
          <xdr:nvSpPr>
            <xdr:cNvPr id="9257" name="Drop Down 41" hidden="1">
              <a:extLst>
                <a:ext uri="{63B3BB69-23CF-44E3-9099-C40C66FF867C}">
                  <a14:compatExt spid="_x0000_s9257"/>
                </a:ext>
                <a:ext uri="{FF2B5EF4-FFF2-40B4-BE49-F238E27FC236}">
                  <a16:creationId xmlns:a16="http://schemas.microsoft.com/office/drawing/2014/main" id="{00000000-0008-0000-0D00-000029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1</xdr:col>
          <xdr:colOff>1924050</xdr:colOff>
          <xdr:row>52</xdr:row>
          <xdr:rowOff>219075</xdr:rowOff>
        </xdr:to>
        <xdr:sp macro="" textlink="">
          <xdr:nvSpPr>
            <xdr:cNvPr id="9258" name="Drop Down 42" hidden="1">
              <a:extLst>
                <a:ext uri="{63B3BB69-23CF-44E3-9099-C40C66FF867C}">
                  <a14:compatExt spid="_x0000_s9258"/>
                </a:ext>
                <a:ext uri="{FF2B5EF4-FFF2-40B4-BE49-F238E27FC236}">
                  <a16:creationId xmlns:a16="http://schemas.microsoft.com/office/drawing/2014/main" id="{00000000-0008-0000-0D00-00002A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53</xdr:row>
          <xdr:rowOff>19050</xdr:rowOff>
        </xdr:from>
        <xdr:to>
          <xdr:col>1</xdr:col>
          <xdr:colOff>1924050</xdr:colOff>
          <xdr:row>53</xdr:row>
          <xdr:rowOff>219075</xdr:rowOff>
        </xdr:to>
        <xdr:sp macro="" textlink="">
          <xdr:nvSpPr>
            <xdr:cNvPr id="9259" name="Drop Down 43" hidden="1">
              <a:extLst>
                <a:ext uri="{63B3BB69-23CF-44E3-9099-C40C66FF867C}">
                  <a14:compatExt spid="_x0000_s9259"/>
                </a:ext>
                <a:ext uri="{FF2B5EF4-FFF2-40B4-BE49-F238E27FC236}">
                  <a16:creationId xmlns:a16="http://schemas.microsoft.com/office/drawing/2014/main" id="{00000000-0008-0000-0D00-00002B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1</xdr:col>
          <xdr:colOff>1924050</xdr:colOff>
          <xdr:row>54</xdr:row>
          <xdr:rowOff>219075</xdr:rowOff>
        </xdr:to>
        <xdr:sp macro="" textlink="">
          <xdr:nvSpPr>
            <xdr:cNvPr id="9260" name="Drop Down 44" hidden="1">
              <a:extLst>
                <a:ext uri="{63B3BB69-23CF-44E3-9099-C40C66FF867C}">
                  <a14:compatExt spid="_x0000_s9260"/>
                </a:ext>
                <a:ext uri="{FF2B5EF4-FFF2-40B4-BE49-F238E27FC236}">
                  <a16:creationId xmlns:a16="http://schemas.microsoft.com/office/drawing/2014/main" id="{00000000-0008-0000-0D00-00002C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55</xdr:row>
          <xdr:rowOff>19050</xdr:rowOff>
        </xdr:from>
        <xdr:to>
          <xdr:col>1</xdr:col>
          <xdr:colOff>1924050</xdr:colOff>
          <xdr:row>55</xdr:row>
          <xdr:rowOff>219075</xdr:rowOff>
        </xdr:to>
        <xdr:sp macro="" textlink="">
          <xdr:nvSpPr>
            <xdr:cNvPr id="9261" name="Drop Down 45" hidden="1">
              <a:extLst>
                <a:ext uri="{63B3BB69-23CF-44E3-9099-C40C66FF867C}">
                  <a14:compatExt spid="_x0000_s9261"/>
                </a:ext>
                <a:ext uri="{FF2B5EF4-FFF2-40B4-BE49-F238E27FC236}">
                  <a16:creationId xmlns:a16="http://schemas.microsoft.com/office/drawing/2014/main" id="{00000000-0008-0000-0D00-00002D2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247650</xdr:colOff>
          <xdr:row>59</xdr:row>
          <xdr:rowOff>0</xdr:rowOff>
        </xdr:from>
        <xdr:to>
          <xdr:col>10</xdr:col>
          <xdr:colOff>476250</xdr:colOff>
          <xdr:row>59</xdr:row>
          <xdr:rowOff>190500</xdr:rowOff>
        </xdr:to>
        <xdr:sp macro="" textlink="">
          <xdr:nvSpPr>
            <xdr:cNvPr id="9355" name="Check Box 139" hidden="1">
              <a:extLst>
                <a:ext uri="{63B3BB69-23CF-44E3-9099-C40C66FF867C}">
                  <a14:compatExt spid="_x0000_s9355"/>
                </a:ext>
                <a:ext uri="{FF2B5EF4-FFF2-40B4-BE49-F238E27FC236}">
                  <a16:creationId xmlns:a16="http://schemas.microsoft.com/office/drawing/2014/main" id="{00000000-0008-0000-0D00-00008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11</xdr:row>
          <xdr:rowOff>9525</xdr:rowOff>
        </xdr:from>
        <xdr:to>
          <xdr:col>1</xdr:col>
          <xdr:colOff>1924050</xdr:colOff>
          <xdr:row>11</xdr:row>
          <xdr:rowOff>209550</xdr:rowOff>
        </xdr:to>
        <xdr:sp macro="" textlink="">
          <xdr:nvSpPr>
            <xdr:cNvPr id="10241" name="Drop Down 1" hidden="1">
              <a:extLst>
                <a:ext uri="{63B3BB69-23CF-44E3-9099-C40C66FF867C}">
                  <a14:compatExt spid="_x0000_s10241"/>
                </a:ext>
                <a:ext uri="{FF2B5EF4-FFF2-40B4-BE49-F238E27FC236}">
                  <a16:creationId xmlns:a16="http://schemas.microsoft.com/office/drawing/2014/main" id="{00000000-0008-0000-0E00-000001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12</xdr:row>
          <xdr:rowOff>9525</xdr:rowOff>
        </xdr:from>
        <xdr:to>
          <xdr:col>1</xdr:col>
          <xdr:colOff>1924050</xdr:colOff>
          <xdr:row>12</xdr:row>
          <xdr:rowOff>209550</xdr:rowOff>
        </xdr:to>
        <xdr:sp macro="" textlink="">
          <xdr:nvSpPr>
            <xdr:cNvPr id="10242" name="Drop Down 2" hidden="1">
              <a:extLst>
                <a:ext uri="{63B3BB69-23CF-44E3-9099-C40C66FF867C}">
                  <a14:compatExt spid="_x0000_s10242"/>
                </a:ext>
                <a:ext uri="{FF2B5EF4-FFF2-40B4-BE49-F238E27FC236}">
                  <a16:creationId xmlns:a16="http://schemas.microsoft.com/office/drawing/2014/main" id="{00000000-0008-0000-0E00-000002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13</xdr:row>
          <xdr:rowOff>19050</xdr:rowOff>
        </xdr:from>
        <xdr:to>
          <xdr:col>1</xdr:col>
          <xdr:colOff>1924050</xdr:colOff>
          <xdr:row>13</xdr:row>
          <xdr:rowOff>219075</xdr:rowOff>
        </xdr:to>
        <xdr:sp macro="" textlink="">
          <xdr:nvSpPr>
            <xdr:cNvPr id="10243" name="Drop Down 3" hidden="1">
              <a:extLst>
                <a:ext uri="{63B3BB69-23CF-44E3-9099-C40C66FF867C}">
                  <a14:compatExt spid="_x0000_s10243"/>
                </a:ext>
                <a:ext uri="{FF2B5EF4-FFF2-40B4-BE49-F238E27FC236}">
                  <a16:creationId xmlns:a16="http://schemas.microsoft.com/office/drawing/2014/main" id="{00000000-0008-0000-0E00-000003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14</xdr:row>
          <xdr:rowOff>19050</xdr:rowOff>
        </xdr:from>
        <xdr:to>
          <xdr:col>1</xdr:col>
          <xdr:colOff>1924050</xdr:colOff>
          <xdr:row>14</xdr:row>
          <xdr:rowOff>219075</xdr:rowOff>
        </xdr:to>
        <xdr:sp macro="" textlink="">
          <xdr:nvSpPr>
            <xdr:cNvPr id="10244" name="Drop Down 4" hidden="1">
              <a:extLst>
                <a:ext uri="{63B3BB69-23CF-44E3-9099-C40C66FF867C}">
                  <a14:compatExt spid="_x0000_s10244"/>
                </a:ext>
                <a:ext uri="{FF2B5EF4-FFF2-40B4-BE49-F238E27FC236}">
                  <a16:creationId xmlns:a16="http://schemas.microsoft.com/office/drawing/2014/main" id="{00000000-0008-0000-0E00-000004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15</xdr:row>
          <xdr:rowOff>19050</xdr:rowOff>
        </xdr:from>
        <xdr:to>
          <xdr:col>1</xdr:col>
          <xdr:colOff>1924050</xdr:colOff>
          <xdr:row>15</xdr:row>
          <xdr:rowOff>219075</xdr:rowOff>
        </xdr:to>
        <xdr:sp macro="" textlink="">
          <xdr:nvSpPr>
            <xdr:cNvPr id="10245" name="Drop Down 5" hidden="1">
              <a:extLst>
                <a:ext uri="{63B3BB69-23CF-44E3-9099-C40C66FF867C}">
                  <a14:compatExt spid="_x0000_s10245"/>
                </a:ext>
                <a:ext uri="{FF2B5EF4-FFF2-40B4-BE49-F238E27FC236}">
                  <a16:creationId xmlns:a16="http://schemas.microsoft.com/office/drawing/2014/main" id="{00000000-0008-0000-0E00-000005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16</xdr:row>
          <xdr:rowOff>19050</xdr:rowOff>
        </xdr:from>
        <xdr:to>
          <xdr:col>1</xdr:col>
          <xdr:colOff>1924050</xdr:colOff>
          <xdr:row>16</xdr:row>
          <xdr:rowOff>219075</xdr:rowOff>
        </xdr:to>
        <xdr:sp macro="" textlink="">
          <xdr:nvSpPr>
            <xdr:cNvPr id="10246" name="Drop Down 6" hidden="1">
              <a:extLst>
                <a:ext uri="{63B3BB69-23CF-44E3-9099-C40C66FF867C}">
                  <a14:compatExt spid="_x0000_s10246"/>
                </a:ext>
                <a:ext uri="{FF2B5EF4-FFF2-40B4-BE49-F238E27FC236}">
                  <a16:creationId xmlns:a16="http://schemas.microsoft.com/office/drawing/2014/main" id="{00000000-0008-0000-0E00-000006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17</xdr:row>
          <xdr:rowOff>19050</xdr:rowOff>
        </xdr:from>
        <xdr:to>
          <xdr:col>1</xdr:col>
          <xdr:colOff>1924050</xdr:colOff>
          <xdr:row>17</xdr:row>
          <xdr:rowOff>219075</xdr:rowOff>
        </xdr:to>
        <xdr:sp macro="" textlink="">
          <xdr:nvSpPr>
            <xdr:cNvPr id="10247" name="Drop Down 7" hidden="1">
              <a:extLst>
                <a:ext uri="{63B3BB69-23CF-44E3-9099-C40C66FF867C}">
                  <a14:compatExt spid="_x0000_s10247"/>
                </a:ext>
                <a:ext uri="{FF2B5EF4-FFF2-40B4-BE49-F238E27FC236}">
                  <a16:creationId xmlns:a16="http://schemas.microsoft.com/office/drawing/2014/main" id="{00000000-0008-0000-0E00-000007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18</xdr:row>
          <xdr:rowOff>19050</xdr:rowOff>
        </xdr:from>
        <xdr:to>
          <xdr:col>1</xdr:col>
          <xdr:colOff>1924050</xdr:colOff>
          <xdr:row>18</xdr:row>
          <xdr:rowOff>219075</xdr:rowOff>
        </xdr:to>
        <xdr:sp macro="" textlink="">
          <xdr:nvSpPr>
            <xdr:cNvPr id="10248" name="Drop Down 8" hidden="1">
              <a:extLst>
                <a:ext uri="{63B3BB69-23CF-44E3-9099-C40C66FF867C}">
                  <a14:compatExt spid="_x0000_s10248"/>
                </a:ext>
                <a:ext uri="{FF2B5EF4-FFF2-40B4-BE49-F238E27FC236}">
                  <a16:creationId xmlns:a16="http://schemas.microsoft.com/office/drawing/2014/main" id="{00000000-0008-0000-0E00-000008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28575</xdr:rowOff>
        </xdr:from>
        <xdr:to>
          <xdr:col>1</xdr:col>
          <xdr:colOff>1924050</xdr:colOff>
          <xdr:row>20</xdr:row>
          <xdr:rowOff>0</xdr:rowOff>
        </xdr:to>
        <xdr:sp macro="" textlink="">
          <xdr:nvSpPr>
            <xdr:cNvPr id="10249" name="Drop Down 9" hidden="1">
              <a:extLst>
                <a:ext uri="{63B3BB69-23CF-44E3-9099-C40C66FF867C}">
                  <a14:compatExt spid="_x0000_s10249"/>
                </a:ext>
                <a:ext uri="{FF2B5EF4-FFF2-40B4-BE49-F238E27FC236}">
                  <a16:creationId xmlns:a16="http://schemas.microsoft.com/office/drawing/2014/main" id="{00000000-0008-0000-0E00-000009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20</xdr:row>
          <xdr:rowOff>19050</xdr:rowOff>
        </xdr:from>
        <xdr:to>
          <xdr:col>1</xdr:col>
          <xdr:colOff>1924050</xdr:colOff>
          <xdr:row>20</xdr:row>
          <xdr:rowOff>219075</xdr:rowOff>
        </xdr:to>
        <xdr:sp macro="" textlink="">
          <xdr:nvSpPr>
            <xdr:cNvPr id="10250" name="Drop Down 10" hidden="1">
              <a:extLst>
                <a:ext uri="{63B3BB69-23CF-44E3-9099-C40C66FF867C}">
                  <a14:compatExt spid="_x0000_s10250"/>
                </a:ext>
                <a:ext uri="{FF2B5EF4-FFF2-40B4-BE49-F238E27FC236}">
                  <a16:creationId xmlns:a16="http://schemas.microsoft.com/office/drawing/2014/main" id="{00000000-0008-0000-0E00-00000A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28575</xdr:rowOff>
        </xdr:from>
        <xdr:to>
          <xdr:col>1</xdr:col>
          <xdr:colOff>1924050</xdr:colOff>
          <xdr:row>22</xdr:row>
          <xdr:rowOff>0</xdr:rowOff>
        </xdr:to>
        <xdr:sp macro="" textlink="">
          <xdr:nvSpPr>
            <xdr:cNvPr id="10251" name="Drop Down 11" hidden="1">
              <a:extLst>
                <a:ext uri="{63B3BB69-23CF-44E3-9099-C40C66FF867C}">
                  <a14:compatExt spid="_x0000_s10251"/>
                </a:ext>
                <a:ext uri="{FF2B5EF4-FFF2-40B4-BE49-F238E27FC236}">
                  <a16:creationId xmlns:a16="http://schemas.microsoft.com/office/drawing/2014/main" id="{00000000-0008-0000-0E00-00000B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22</xdr:row>
          <xdr:rowOff>28575</xdr:rowOff>
        </xdr:from>
        <xdr:to>
          <xdr:col>1</xdr:col>
          <xdr:colOff>1924050</xdr:colOff>
          <xdr:row>23</xdr:row>
          <xdr:rowOff>0</xdr:rowOff>
        </xdr:to>
        <xdr:sp macro="" textlink="">
          <xdr:nvSpPr>
            <xdr:cNvPr id="10252" name="Drop Down 12" hidden="1">
              <a:extLst>
                <a:ext uri="{63B3BB69-23CF-44E3-9099-C40C66FF867C}">
                  <a14:compatExt spid="_x0000_s10252"/>
                </a:ext>
                <a:ext uri="{FF2B5EF4-FFF2-40B4-BE49-F238E27FC236}">
                  <a16:creationId xmlns:a16="http://schemas.microsoft.com/office/drawing/2014/main" id="{00000000-0008-0000-0E00-00000C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1</xdr:col>
          <xdr:colOff>1924050</xdr:colOff>
          <xdr:row>23</xdr:row>
          <xdr:rowOff>219075</xdr:rowOff>
        </xdr:to>
        <xdr:sp macro="" textlink="">
          <xdr:nvSpPr>
            <xdr:cNvPr id="10253" name="Drop Down 13" hidden="1">
              <a:extLst>
                <a:ext uri="{63B3BB69-23CF-44E3-9099-C40C66FF867C}">
                  <a14:compatExt spid="_x0000_s10253"/>
                </a:ext>
                <a:ext uri="{FF2B5EF4-FFF2-40B4-BE49-F238E27FC236}">
                  <a16:creationId xmlns:a16="http://schemas.microsoft.com/office/drawing/2014/main" id="{00000000-0008-0000-0E00-00000D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24</xdr:row>
          <xdr:rowOff>28575</xdr:rowOff>
        </xdr:from>
        <xdr:to>
          <xdr:col>1</xdr:col>
          <xdr:colOff>1924050</xdr:colOff>
          <xdr:row>25</xdr:row>
          <xdr:rowOff>0</xdr:rowOff>
        </xdr:to>
        <xdr:sp macro="" textlink="">
          <xdr:nvSpPr>
            <xdr:cNvPr id="10254" name="Drop Down 14" hidden="1">
              <a:extLst>
                <a:ext uri="{63B3BB69-23CF-44E3-9099-C40C66FF867C}">
                  <a14:compatExt spid="_x0000_s10254"/>
                </a:ext>
                <a:ext uri="{FF2B5EF4-FFF2-40B4-BE49-F238E27FC236}">
                  <a16:creationId xmlns:a16="http://schemas.microsoft.com/office/drawing/2014/main" id="{00000000-0008-0000-0E00-00000E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1</xdr:col>
          <xdr:colOff>1924050</xdr:colOff>
          <xdr:row>25</xdr:row>
          <xdr:rowOff>219075</xdr:rowOff>
        </xdr:to>
        <xdr:sp macro="" textlink="">
          <xdr:nvSpPr>
            <xdr:cNvPr id="10255" name="Drop Down 15" hidden="1">
              <a:extLst>
                <a:ext uri="{63B3BB69-23CF-44E3-9099-C40C66FF867C}">
                  <a14:compatExt spid="_x0000_s10255"/>
                </a:ext>
                <a:ext uri="{FF2B5EF4-FFF2-40B4-BE49-F238E27FC236}">
                  <a16:creationId xmlns:a16="http://schemas.microsoft.com/office/drawing/2014/main" id="{00000000-0008-0000-0E00-00000F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26</xdr:row>
          <xdr:rowOff>19050</xdr:rowOff>
        </xdr:from>
        <xdr:to>
          <xdr:col>1</xdr:col>
          <xdr:colOff>1924050</xdr:colOff>
          <xdr:row>26</xdr:row>
          <xdr:rowOff>219075</xdr:rowOff>
        </xdr:to>
        <xdr:sp macro="" textlink="">
          <xdr:nvSpPr>
            <xdr:cNvPr id="10256" name="Drop Down 16" hidden="1">
              <a:extLst>
                <a:ext uri="{63B3BB69-23CF-44E3-9099-C40C66FF867C}">
                  <a14:compatExt spid="_x0000_s10256"/>
                </a:ext>
                <a:ext uri="{FF2B5EF4-FFF2-40B4-BE49-F238E27FC236}">
                  <a16:creationId xmlns:a16="http://schemas.microsoft.com/office/drawing/2014/main" id="{00000000-0008-0000-0E00-000010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1</xdr:col>
          <xdr:colOff>1924050</xdr:colOff>
          <xdr:row>27</xdr:row>
          <xdr:rowOff>219075</xdr:rowOff>
        </xdr:to>
        <xdr:sp macro="" textlink="">
          <xdr:nvSpPr>
            <xdr:cNvPr id="10257" name="Drop Down 17" hidden="1">
              <a:extLst>
                <a:ext uri="{63B3BB69-23CF-44E3-9099-C40C66FF867C}">
                  <a14:compatExt spid="_x0000_s10257"/>
                </a:ext>
                <a:ext uri="{FF2B5EF4-FFF2-40B4-BE49-F238E27FC236}">
                  <a16:creationId xmlns:a16="http://schemas.microsoft.com/office/drawing/2014/main" id="{00000000-0008-0000-0E00-000011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28</xdr:row>
          <xdr:rowOff>19050</xdr:rowOff>
        </xdr:from>
        <xdr:to>
          <xdr:col>1</xdr:col>
          <xdr:colOff>1924050</xdr:colOff>
          <xdr:row>28</xdr:row>
          <xdr:rowOff>219075</xdr:rowOff>
        </xdr:to>
        <xdr:sp macro="" textlink="">
          <xdr:nvSpPr>
            <xdr:cNvPr id="10258" name="Drop Down 18" hidden="1">
              <a:extLst>
                <a:ext uri="{63B3BB69-23CF-44E3-9099-C40C66FF867C}">
                  <a14:compatExt spid="_x0000_s10258"/>
                </a:ext>
                <a:ext uri="{FF2B5EF4-FFF2-40B4-BE49-F238E27FC236}">
                  <a16:creationId xmlns:a16="http://schemas.microsoft.com/office/drawing/2014/main" id="{00000000-0008-0000-0E00-000012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1</xdr:col>
          <xdr:colOff>1924050</xdr:colOff>
          <xdr:row>29</xdr:row>
          <xdr:rowOff>219075</xdr:rowOff>
        </xdr:to>
        <xdr:sp macro="" textlink="">
          <xdr:nvSpPr>
            <xdr:cNvPr id="10259" name="Drop Down 19" hidden="1">
              <a:extLst>
                <a:ext uri="{63B3BB69-23CF-44E3-9099-C40C66FF867C}">
                  <a14:compatExt spid="_x0000_s10259"/>
                </a:ext>
                <a:ext uri="{FF2B5EF4-FFF2-40B4-BE49-F238E27FC236}">
                  <a16:creationId xmlns:a16="http://schemas.microsoft.com/office/drawing/2014/main" id="{00000000-0008-0000-0E00-000013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30</xdr:row>
          <xdr:rowOff>19050</xdr:rowOff>
        </xdr:from>
        <xdr:to>
          <xdr:col>1</xdr:col>
          <xdr:colOff>1924050</xdr:colOff>
          <xdr:row>30</xdr:row>
          <xdr:rowOff>219075</xdr:rowOff>
        </xdr:to>
        <xdr:sp macro="" textlink="">
          <xdr:nvSpPr>
            <xdr:cNvPr id="10260" name="Drop Down 20" hidden="1">
              <a:extLst>
                <a:ext uri="{63B3BB69-23CF-44E3-9099-C40C66FF867C}">
                  <a14:compatExt spid="_x0000_s10260"/>
                </a:ext>
                <a:ext uri="{FF2B5EF4-FFF2-40B4-BE49-F238E27FC236}">
                  <a16:creationId xmlns:a16="http://schemas.microsoft.com/office/drawing/2014/main" id="{00000000-0008-0000-0E00-000014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31</xdr:row>
          <xdr:rowOff>19050</xdr:rowOff>
        </xdr:from>
        <xdr:to>
          <xdr:col>1</xdr:col>
          <xdr:colOff>1924050</xdr:colOff>
          <xdr:row>31</xdr:row>
          <xdr:rowOff>219075</xdr:rowOff>
        </xdr:to>
        <xdr:sp macro="" textlink="">
          <xdr:nvSpPr>
            <xdr:cNvPr id="10261" name="Drop Down 21" hidden="1">
              <a:extLst>
                <a:ext uri="{63B3BB69-23CF-44E3-9099-C40C66FF867C}">
                  <a14:compatExt spid="_x0000_s10261"/>
                </a:ext>
                <a:ext uri="{FF2B5EF4-FFF2-40B4-BE49-F238E27FC236}">
                  <a16:creationId xmlns:a16="http://schemas.microsoft.com/office/drawing/2014/main" id="{00000000-0008-0000-0E00-000015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32</xdr:row>
          <xdr:rowOff>19050</xdr:rowOff>
        </xdr:from>
        <xdr:to>
          <xdr:col>1</xdr:col>
          <xdr:colOff>1924050</xdr:colOff>
          <xdr:row>32</xdr:row>
          <xdr:rowOff>219075</xdr:rowOff>
        </xdr:to>
        <xdr:sp macro="" textlink="">
          <xdr:nvSpPr>
            <xdr:cNvPr id="10262" name="Drop Down 22" hidden="1">
              <a:extLst>
                <a:ext uri="{63B3BB69-23CF-44E3-9099-C40C66FF867C}">
                  <a14:compatExt spid="_x0000_s10262"/>
                </a:ext>
                <a:ext uri="{FF2B5EF4-FFF2-40B4-BE49-F238E27FC236}">
                  <a16:creationId xmlns:a16="http://schemas.microsoft.com/office/drawing/2014/main" id="{00000000-0008-0000-0E00-000016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33</xdr:row>
          <xdr:rowOff>19050</xdr:rowOff>
        </xdr:from>
        <xdr:to>
          <xdr:col>1</xdr:col>
          <xdr:colOff>1924050</xdr:colOff>
          <xdr:row>33</xdr:row>
          <xdr:rowOff>219075</xdr:rowOff>
        </xdr:to>
        <xdr:sp macro="" textlink="">
          <xdr:nvSpPr>
            <xdr:cNvPr id="10263" name="Drop Down 23" hidden="1">
              <a:extLst>
                <a:ext uri="{63B3BB69-23CF-44E3-9099-C40C66FF867C}">
                  <a14:compatExt spid="_x0000_s10263"/>
                </a:ext>
                <a:ext uri="{FF2B5EF4-FFF2-40B4-BE49-F238E27FC236}">
                  <a16:creationId xmlns:a16="http://schemas.microsoft.com/office/drawing/2014/main" id="{00000000-0008-0000-0E00-000017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34</xdr:row>
          <xdr:rowOff>19050</xdr:rowOff>
        </xdr:from>
        <xdr:to>
          <xdr:col>1</xdr:col>
          <xdr:colOff>1924050</xdr:colOff>
          <xdr:row>34</xdr:row>
          <xdr:rowOff>219075</xdr:rowOff>
        </xdr:to>
        <xdr:sp macro="" textlink="">
          <xdr:nvSpPr>
            <xdr:cNvPr id="10264" name="Drop Down 24" hidden="1">
              <a:extLst>
                <a:ext uri="{63B3BB69-23CF-44E3-9099-C40C66FF867C}">
                  <a14:compatExt spid="_x0000_s10264"/>
                </a:ext>
                <a:ext uri="{FF2B5EF4-FFF2-40B4-BE49-F238E27FC236}">
                  <a16:creationId xmlns:a16="http://schemas.microsoft.com/office/drawing/2014/main" id="{00000000-0008-0000-0E00-000018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35</xdr:row>
          <xdr:rowOff>19050</xdr:rowOff>
        </xdr:from>
        <xdr:to>
          <xdr:col>1</xdr:col>
          <xdr:colOff>1924050</xdr:colOff>
          <xdr:row>35</xdr:row>
          <xdr:rowOff>219075</xdr:rowOff>
        </xdr:to>
        <xdr:sp macro="" textlink="">
          <xdr:nvSpPr>
            <xdr:cNvPr id="10265" name="Drop Down 25" hidden="1">
              <a:extLst>
                <a:ext uri="{63B3BB69-23CF-44E3-9099-C40C66FF867C}">
                  <a14:compatExt spid="_x0000_s10265"/>
                </a:ext>
                <a:ext uri="{FF2B5EF4-FFF2-40B4-BE49-F238E27FC236}">
                  <a16:creationId xmlns:a16="http://schemas.microsoft.com/office/drawing/2014/main" id="{00000000-0008-0000-0E00-000019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36</xdr:row>
          <xdr:rowOff>19050</xdr:rowOff>
        </xdr:from>
        <xdr:to>
          <xdr:col>1</xdr:col>
          <xdr:colOff>1924050</xdr:colOff>
          <xdr:row>36</xdr:row>
          <xdr:rowOff>219075</xdr:rowOff>
        </xdr:to>
        <xdr:sp macro="" textlink="">
          <xdr:nvSpPr>
            <xdr:cNvPr id="10266" name="Drop Down 26" hidden="1">
              <a:extLst>
                <a:ext uri="{63B3BB69-23CF-44E3-9099-C40C66FF867C}">
                  <a14:compatExt spid="_x0000_s10266"/>
                </a:ext>
                <a:ext uri="{FF2B5EF4-FFF2-40B4-BE49-F238E27FC236}">
                  <a16:creationId xmlns:a16="http://schemas.microsoft.com/office/drawing/2014/main" id="{00000000-0008-0000-0E00-00001A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37</xdr:row>
          <xdr:rowOff>19050</xdr:rowOff>
        </xdr:from>
        <xdr:to>
          <xdr:col>1</xdr:col>
          <xdr:colOff>1924050</xdr:colOff>
          <xdr:row>37</xdr:row>
          <xdr:rowOff>219075</xdr:rowOff>
        </xdr:to>
        <xdr:sp macro="" textlink="">
          <xdr:nvSpPr>
            <xdr:cNvPr id="10267" name="Drop Down 27" hidden="1">
              <a:extLst>
                <a:ext uri="{63B3BB69-23CF-44E3-9099-C40C66FF867C}">
                  <a14:compatExt spid="_x0000_s10267"/>
                </a:ext>
                <a:ext uri="{FF2B5EF4-FFF2-40B4-BE49-F238E27FC236}">
                  <a16:creationId xmlns:a16="http://schemas.microsoft.com/office/drawing/2014/main" id="{00000000-0008-0000-0E00-00001B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1</xdr:col>
          <xdr:colOff>1924050</xdr:colOff>
          <xdr:row>38</xdr:row>
          <xdr:rowOff>219075</xdr:rowOff>
        </xdr:to>
        <xdr:sp macro="" textlink="">
          <xdr:nvSpPr>
            <xdr:cNvPr id="10268" name="Drop Down 28" hidden="1">
              <a:extLst>
                <a:ext uri="{63B3BB69-23CF-44E3-9099-C40C66FF867C}">
                  <a14:compatExt spid="_x0000_s10268"/>
                </a:ext>
                <a:ext uri="{FF2B5EF4-FFF2-40B4-BE49-F238E27FC236}">
                  <a16:creationId xmlns:a16="http://schemas.microsoft.com/office/drawing/2014/main" id="{00000000-0008-0000-0E00-00001C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39</xdr:row>
          <xdr:rowOff>19050</xdr:rowOff>
        </xdr:from>
        <xdr:to>
          <xdr:col>1</xdr:col>
          <xdr:colOff>1924050</xdr:colOff>
          <xdr:row>39</xdr:row>
          <xdr:rowOff>219075</xdr:rowOff>
        </xdr:to>
        <xdr:sp macro="" textlink="">
          <xdr:nvSpPr>
            <xdr:cNvPr id="10269" name="Drop Down 29" hidden="1">
              <a:extLst>
                <a:ext uri="{63B3BB69-23CF-44E3-9099-C40C66FF867C}">
                  <a14:compatExt spid="_x0000_s10269"/>
                </a:ext>
                <a:ext uri="{FF2B5EF4-FFF2-40B4-BE49-F238E27FC236}">
                  <a16:creationId xmlns:a16="http://schemas.microsoft.com/office/drawing/2014/main" id="{00000000-0008-0000-0E00-00001D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40</xdr:row>
          <xdr:rowOff>19050</xdr:rowOff>
        </xdr:from>
        <xdr:to>
          <xdr:col>1</xdr:col>
          <xdr:colOff>1924050</xdr:colOff>
          <xdr:row>40</xdr:row>
          <xdr:rowOff>219075</xdr:rowOff>
        </xdr:to>
        <xdr:sp macro="" textlink="">
          <xdr:nvSpPr>
            <xdr:cNvPr id="10270" name="Drop Down 30" hidden="1">
              <a:extLst>
                <a:ext uri="{63B3BB69-23CF-44E3-9099-C40C66FF867C}">
                  <a14:compatExt spid="_x0000_s10270"/>
                </a:ext>
                <a:ext uri="{FF2B5EF4-FFF2-40B4-BE49-F238E27FC236}">
                  <a16:creationId xmlns:a16="http://schemas.microsoft.com/office/drawing/2014/main" id="{00000000-0008-0000-0E00-00001E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41</xdr:row>
          <xdr:rowOff>19050</xdr:rowOff>
        </xdr:from>
        <xdr:to>
          <xdr:col>1</xdr:col>
          <xdr:colOff>1924050</xdr:colOff>
          <xdr:row>41</xdr:row>
          <xdr:rowOff>219075</xdr:rowOff>
        </xdr:to>
        <xdr:sp macro="" textlink="">
          <xdr:nvSpPr>
            <xdr:cNvPr id="10271" name="Drop Down 31" hidden="1">
              <a:extLst>
                <a:ext uri="{63B3BB69-23CF-44E3-9099-C40C66FF867C}">
                  <a14:compatExt spid="_x0000_s10271"/>
                </a:ext>
                <a:ext uri="{FF2B5EF4-FFF2-40B4-BE49-F238E27FC236}">
                  <a16:creationId xmlns:a16="http://schemas.microsoft.com/office/drawing/2014/main" id="{00000000-0008-0000-0E00-00001F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42</xdr:row>
          <xdr:rowOff>19050</xdr:rowOff>
        </xdr:from>
        <xdr:to>
          <xdr:col>1</xdr:col>
          <xdr:colOff>1924050</xdr:colOff>
          <xdr:row>42</xdr:row>
          <xdr:rowOff>219075</xdr:rowOff>
        </xdr:to>
        <xdr:sp macro="" textlink="">
          <xdr:nvSpPr>
            <xdr:cNvPr id="10272" name="Drop Down 32" hidden="1">
              <a:extLst>
                <a:ext uri="{63B3BB69-23CF-44E3-9099-C40C66FF867C}">
                  <a14:compatExt spid="_x0000_s10272"/>
                </a:ext>
                <a:ext uri="{FF2B5EF4-FFF2-40B4-BE49-F238E27FC236}">
                  <a16:creationId xmlns:a16="http://schemas.microsoft.com/office/drawing/2014/main" id="{00000000-0008-0000-0E00-000020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43</xdr:row>
          <xdr:rowOff>19050</xdr:rowOff>
        </xdr:from>
        <xdr:to>
          <xdr:col>1</xdr:col>
          <xdr:colOff>1924050</xdr:colOff>
          <xdr:row>43</xdr:row>
          <xdr:rowOff>219075</xdr:rowOff>
        </xdr:to>
        <xdr:sp macro="" textlink="">
          <xdr:nvSpPr>
            <xdr:cNvPr id="10273" name="Drop Down 33" hidden="1">
              <a:extLst>
                <a:ext uri="{63B3BB69-23CF-44E3-9099-C40C66FF867C}">
                  <a14:compatExt spid="_x0000_s10273"/>
                </a:ext>
                <a:ext uri="{FF2B5EF4-FFF2-40B4-BE49-F238E27FC236}">
                  <a16:creationId xmlns:a16="http://schemas.microsoft.com/office/drawing/2014/main" id="{00000000-0008-0000-0E00-000021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44</xdr:row>
          <xdr:rowOff>19050</xdr:rowOff>
        </xdr:from>
        <xdr:to>
          <xdr:col>1</xdr:col>
          <xdr:colOff>1924050</xdr:colOff>
          <xdr:row>44</xdr:row>
          <xdr:rowOff>219075</xdr:rowOff>
        </xdr:to>
        <xdr:sp macro="" textlink="">
          <xdr:nvSpPr>
            <xdr:cNvPr id="10274" name="Drop Down 34" hidden="1">
              <a:extLst>
                <a:ext uri="{63B3BB69-23CF-44E3-9099-C40C66FF867C}">
                  <a14:compatExt spid="_x0000_s10274"/>
                </a:ext>
                <a:ext uri="{FF2B5EF4-FFF2-40B4-BE49-F238E27FC236}">
                  <a16:creationId xmlns:a16="http://schemas.microsoft.com/office/drawing/2014/main" id="{00000000-0008-0000-0E00-000022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45</xdr:row>
          <xdr:rowOff>19050</xdr:rowOff>
        </xdr:from>
        <xdr:to>
          <xdr:col>1</xdr:col>
          <xdr:colOff>1924050</xdr:colOff>
          <xdr:row>45</xdr:row>
          <xdr:rowOff>219075</xdr:rowOff>
        </xdr:to>
        <xdr:sp macro="" textlink="">
          <xdr:nvSpPr>
            <xdr:cNvPr id="10275" name="Drop Down 35" hidden="1">
              <a:extLst>
                <a:ext uri="{63B3BB69-23CF-44E3-9099-C40C66FF867C}">
                  <a14:compatExt spid="_x0000_s10275"/>
                </a:ext>
                <a:ext uri="{FF2B5EF4-FFF2-40B4-BE49-F238E27FC236}">
                  <a16:creationId xmlns:a16="http://schemas.microsoft.com/office/drawing/2014/main" id="{00000000-0008-0000-0E00-000023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1</xdr:col>
          <xdr:colOff>1924050</xdr:colOff>
          <xdr:row>46</xdr:row>
          <xdr:rowOff>219075</xdr:rowOff>
        </xdr:to>
        <xdr:sp macro="" textlink="">
          <xdr:nvSpPr>
            <xdr:cNvPr id="10276" name="Drop Down 36" hidden="1">
              <a:extLst>
                <a:ext uri="{63B3BB69-23CF-44E3-9099-C40C66FF867C}">
                  <a14:compatExt spid="_x0000_s10276"/>
                </a:ext>
                <a:ext uri="{FF2B5EF4-FFF2-40B4-BE49-F238E27FC236}">
                  <a16:creationId xmlns:a16="http://schemas.microsoft.com/office/drawing/2014/main" id="{00000000-0008-0000-0E00-000024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47</xdr:row>
          <xdr:rowOff>19050</xdr:rowOff>
        </xdr:from>
        <xdr:to>
          <xdr:col>1</xdr:col>
          <xdr:colOff>1924050</xdr:colOff>
          <xdr:row>47</xdr:row>
          <xdr:rowOff>219075</xdr:rowOff>
        </xdr:to>
        <xdr:sp macro="" textlink="">
          <xdr:nvSpPr>
            <xdr:cNvPr id="10277" name="Drop Down 37" hidden="1">
              <a:extLst>
                <a:ext uri="{63B3BB69-23CF-44E3-9099-C40C66FF867C}">
                  <a14:compatExt spid="_x0000_s10277"/>
                </a:ext>
                <a:ext uri="{FF2B5EF4-FFF2-40B4-BE49-F238E27FC236}">
                  <a16:creationId xmlns:a16="http://schemas.microsoft.com/office/drawing/2014/main" id="{00000000-0008-0000-0E00-000025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1</xdr:col>
          <xdr:colOff>1924050</xdr:colOff>
          <xdr:row>48</xdr:row>
          <xdr:rowOff>219075</xdr:rowOff>
        </xdr:to>
        <xdr:sp macro="" textlink="">
          <xdr:nvSpPr>
            <xdr:cNvPr id="10278" name="Drop Down 38" hidden="1">
              <a:extLst>
                <a:ext uri="{63B3BB69-23CF-44E3-9099-C40C66FF867C}">
                  <a14:compatExt spid="_x0000_s10278"/>
                </a:ext>
                <a:ext uri="{FF2B5EF4-FFF2-40B4-BE49-F238E27FC236}">
                  <a16:creationId xmlns:a16="http://schemas.microsoft.com/office/drawing/2014/main" id="{00000000-0008-0000-0E00-000026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49</xdr:row>
          <xdr:rowOff>19050</xdr:rowOff>
        </xdr:from>
        <xdr:to>
          <xdr:col>1</xdr:col>
          <xdr:colOff>1924050</xdr:colOff>
          <xdr:row>49</xdr:row>
          <xdr:rowOff>219075</xdr:rowOff>
        </xdr:to>
        <xdr:sp macro="" textlink="">
          <xdr:nvSpPr>
            <xdr:cNvPr id="10279" name="Drop Down 39" hidden="1">
              <a:extLst>
                <a:ext uri="{63B3BB69-23CF-44E3-9099-C40C66FF867C}">
                  <a14:compatExt spid="_x0000_s10279"/>
                </a:ext>
                <a:ext uri="{FF2B5EF4-FFF2-40B4-BE49-F238E27FC236}">
                  <a16:creationId xmlns:a16="http://schemas.microsoft.com/office/drawing/2014/main" id="{00000000-0008-0000-0E00-000027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1</xdr:col>
          <xdr:colOff>1924050</xdr:colOff>
          <xdr:row>50</xdr:row>
          <xdr:rowOff>219075</xdr:rowOff>
        </xdr:to>
        <xdr:sp macro="" textlink="">
          <xdr:nvSpPr>
            <xdr:cNvPr id="10280" name="Drop Down 40" hidden="1">
              <a:extLst>
                <a:ext uri="{63B3BB69-23CF-44E3-9099-C40C66FF867C}">
                  <a14:compatExt spid="_x0000_s10280"/>
                </a:ext>
                <a:ext uri="{FF2B5EF4-FFF2-40B4-BE49-F238E27FC236}">
                  <a16:creationId xmlns:a16="http://schemas.microsoft.com/office/drawing/2014/main" id="{00000000-0008-0000-0E00-000028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51</xdr:row>
          <xdr:rowOff>19050</xdr:rowOff>
        </xdr:from>
        <xdr:to>
          <xdr:col>1</xdr:col>
          <xdr:colOff>1924050</xdr:colOff>
          <xdr:row>51</xdr:row>
          <xdr:rowOff>219075</xdr:rowOff>
        </xdr:to>
        <xdr:sp macro="" textlink="">
          <xdr:nvSpPr>
            <xdr:cNvPr id="10281" name="Drop Down 41" hidden="1">
              <a:extLst>
                <a:ext uri="{63B3BB69-23CF-44E3-9099-C40C66FF867C}">
                  <a14:compatExt spid="_x0000_s10281"/>
                </a:ext>
                <a:ext uri="{FF2B5EF4-FFF2-40B4-BE49-F238E27FC236}">
                  <a16:creationId xmlns:a16="http://schemas.microsoft.com/office/drawing/2014/main" id="{00000000-0008-0000-0E00-000029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1</xdr:col>
          <xdr:colOff>1924050</xdr:colOff>
          <xdr:row>52</xdr:row>
          <xdr:rowOff>219075</xdr:rowOff>
        </xdr:to>
        <xdr:sp macro="" textlink="">
          <xdr:nvSpPr>
            <xdr:cNvPr id="10282" name="Drop Down 42" hidden="1">
              <a:extLst>
                <a:ext uri="{63B3BB69-23CF-44E3-9099-C40C66FF867C}">
                  <a14:compatExt spid="_x0000_s10282"/>
                </a:ext>
                <a:ext uri="{FF2B5EF4-FFF2-40B4-BE49-F238E27FC236}">
                  <a16:creationId xmlns:a16="http://schemas.microsoft.com/office/drawing/2014/main" id="{00000000-0008-0000-0E00-00002A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53</xdr:row>
          <xdr:rowOff>19050</xdr:rowOff>
        </xdr:from>
        <xdr:to>
          <xdr:col>1</xdr:col>
          <xdr:colOff>1924050</xdr:colOff>
          <xdr:row>53</xdr:row>
          <xdr:rowOff>219075</xdr:rowOff>
        </xdr:to>
        <xdr:sp macro="" textlink="">
          <xdr:nvSpPr>
            <xdr:cNvPr id="10283" name="Drop Down 43" hidden="1">
              <a:extLst>
                <a:ext uri="{63B3BB69-23CF-44E3-9099-C40C66FF867C}">
                  <a14:compatExt spid="_x0000_s10283"/>
                </a:ext>
                <a:ext uri="{FF2B5EF4-FFF2-40B4-BE49-F238E27FC236}">
                  <a16:creationId xmlns:a16="http://schemas.microsoft.com/office/drawing/2014/main" id="{00000000-0008-0000-0E00-00002B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1</xdr:col>
          <xdr:colOff>1924050</xdr:colOff>
          <xdr:row>54</xdr:row>
          <xdr:rowOff>219075</xdr:rowOff>
        </xdr:to>
        <xdr:sp macro="" textlink="">
          <xdr:nvSpPr>
            <xdr:cNvPr id="10284" name="Drop Down 44" hidden="1">
              <a:extLst>
                <a:ext uri="{63B3BB69-23CF-44E3-9099-C40C66FF867C}">
                  <a14:compatExt spid="_x0000_s10284"/>
                </a:ext>
                <a:ext uri="{FF2B5EF4-FFF2-40B4-BE49-F238E27FC236}">
                  <a16:creationId xmlns:a16="http://schemas.microsoft.com/office/drawing/2014/main" id="{00000000-0008-0000-0E00-00002C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55</xdr:row>
          <xdr:rowOff>19050</xdr:rowOff>
        </xdr:from>
        <xdr:to>
          <xdr:col>1</xdr:col>
          <xdr:colOff>1924050</xdr:colOff>
          <xdr:row>55</xdr:row>
          <xdr:rowOff>219075</xdr:rowOff>
        </xdr:to>
        <xdr:sp macro="" textlink="">
          <xdr:nvSpPr>
            <xdr:cNvPr id="10285" name="Drop Down 45" hidden="1">
              <a:extLst>
                <a:ext uri="{63B3BB69-23CF-44E3-9099-C40C66FF867C}">
                  <a14:compatExt spid="_x0000_s10285"/>
                </a:ext>
                <a:ext uri="{FF2B5EF4-FFF2-40B4-BE49-F238E27FC236}">
                  <a16:creationId xmlns:a16="http://schemas.microsoft.com/office/drawing/2014/main" id="{00000000-0008-0000-0E00-00002D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247650</xdr:colOff>
          <xdr:row>59</xdr:row>
          <xdr:rowOff>0</xdr:rowOff>
        </xdr:from>
        <xdr:to>
          <xdr:col>10</xdr:col>
          <xdr:colOff>476250</xdr:colOff>
          <xdr:row>59</xdr:row>
          <xdr:rowOff>190500</xdr:rowOff>
        </xdr:to>
        <xdr:sp macro="" textlink="">
          <xdr:nvSpPr>
            <xdr:cNvPr id="10333" name="Check Box 93" hidden="1">
              <a:extLst>
                <a:ext uri="{63B3BB69-23CF-44E3-9099-C40C66FF867C}">
                  <a14:compatExt spid="_x0000_s10333"/>
                </a:ext>
                <a:ext uri="{FF2B5EF4-FFF2-40B4-BE49-F238E27FC236}">
                  <a16:creationId xmlns:a16="http://schemas.microsoft.com/office/drawing/2014/main" id="{00000000-0008-0000-0E00-00005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11</xdr:row>
          <xdr:rowOff>9525</xdr:rowOff>
        </xdr:from>
        <xdr:to>
          <xdr:col>1</xdr:col>
          <xdr:colOff>1924050</xdr:colOff>
          <xdr:row>11</xdr:row>
          <xdr:rowOff>209550</xdr:rowOff>
        </xdr:to>
        <xdr:sp macro="" textlink="">
          <xdr:nvSpPr>
            <xdr:cNvPr id="11265" name="Drop Down 1" hidden="1">
              <a:extLst>
                <a:ext uri="{63B3BB69-23CF-44E3-9099-C40C66FF867C}">
                  <a14:compatExt spid="_x0000_s11265"/>
                </a:ext>
                <a:ext uri="{FF2B5EF4-FFF2-40B4-BE49-F238E27FC236}">
                  <a16:creationId xmlns:a16="http://schemas.microsoft.com/office/drawing/2014/main" id="{00000000-0008-0000-0F00-000001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12</xdr:row>
          <xdr:rowOff>9525</xdr:rowOff>
        </xdr:from>
        <xdr:to>
          <xdr:col>1</xdr:col>
          <xdr:colOff>1924050</xdr:colOff>
          <xdr:row>12</xdr:row>
          <xdr:rowOff>209550</xdr:rowOff>
        </xdr:to>
        <xdr:sp macro="" textlink="">
          <xdr:nvSpPr>
            <xdr:cNvPr id="11266" name="Drop Down 2" hidden="1">
              <a:extLst>
                <a:ext uri="{63B3BB69-23CF-44E3-9099-C40C66FF867C}">
                  <a14:compatExt spid="_x0000_s11266"/>
                </a:ext>
                <a:ext uri="{FF2B5EF4-FFF2-40B4-BE49-F238E27FC236}">
                  <a16:creationId xmlns:a16="http://schemas.microsoft.com/office/drawing/2014/main" id="{00000000-0008-0000-0F00-000002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13</xdr:row>
          <xdr:rowOff>19050</xdr:rowOff>
        </xdr:from>
        <xdr:to>
          <xdr:col>1</xdr:col>
          <xdr:colOff>1924050</xdr:colOff>
          <xdr:row>13</xdr:row>
          <xdr:rowOff>219075</xdr:rowOff>
        </xdr:to>
        <xdr:sp macro="" textlink="">
          <xdr:nvSpPr>
            <xdr:cNvPr id="11267" name="Drop Down 3" hidden="1">
              <a:extLst>
                <a:ext uri="{63B3BB69-23CF-44E3-9099-C40C66FF867C}">
                  <a14:compatExt spid="_x0000_s11267"/>
                </a:ext>
                <a:ext uri="{FF2B5EF4-FFF2-40B4-BE49-F238E27FC236}">
                  <a16:creationId xmlns:a16="http://schemas.microsoft.com/office/drawing/2014/main" id="{00000000-0008-0000-0F00-000003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14</xdr:row>
          <xdr:rowOff>19050</xdr:rowOff>
        </xdr:from>
        <xdr:to>
          <xdr:col>1</xdr:col>
          <xdr:colOff>1924050</xdr:colOff>
          <xdr:row>14</xdr:row>
          <xdr:rowOff>219075</xdr:rowOff>
        </xdr:to>
        <xdr:sp macro="" textlink="">
          <xdr:nvSpPr>
            <xdr:cNvPr id="11268" name="Drop Down 4" hidden="1">
              <a:extLst>
                <a:ext uri="{63B3BB69-23CF-44E3-9099-C40C66FF867C}">
                  <a14:compatExt spid="_x0000_s11268"/>
                </a:ext>
                <a:ext uri="{FF2B5EF4-FFF2-40B4-BE49-F238E27FC236}">
                  <a16:creationId xmlns:a16="http://schemas.microsoft.com/office/drawing/2014/main" id="{00000000-0008-0000-0F00-000004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15</xdr:row>
          <xdr:rowOff>19050</xdr:rowOff>
        </xdr:from>
        <xdr:to>
          <xdr:col>1</xdr:col>
          <xdr:colOff>1924050</xdr:colOff>
          <xdr:row>15</xdr:row>
          <xdr:rowOff>219075</xdr:rowOff>
        </xdr:to>
        <xdr:sp macro="" textlink="">
          <xdr:nvSpPr>
            <xdr:cNvPr id="11269" name="Drop Down 5" hidden="1">
              <a:extLst>
                <a:ext uri="{63B3BB69-23CF-44E3-9099-C40C66FF867C}">
                  <a14:compatExt spid="_x0000_s11269"/>
                </a:ext>
                <a:ext uri="{FF2B5EF4-FFF2-40B4-BE49-F238E27FC236}">
                  <a16:creationId xmlns:a16="http://schemas.microsoft.com/office/drawing/2014/main" id="{00000000-0008-0000-0F00-000005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16</xdr:row>
          <xdr:rowOff>19050</xdr:rowOff>
        </xdr:from>
        <xdr:to>
          <xdr:col>1</xdr:col>
          <xdr:colOff>1924050</xdr:colOff>
          <xdr:row>16</xdr:row>
          <xdr:rowOff>219075</xdr:rowOff>
        </xdr:to>
        <xdr:sp macro="" textlink="">
          <xdr:nvSpPr>
            <xdr:cNvPr id="11270" name="Drop Down 6" hidden="1">
              <a:extLst>
                <a:ext uri="{63B3BB69-23CF-44E3-9099-C40C66FF867C}">
                  <a14:compatExt spid="_x0000_s11270"/>
                </a:ext>
                <a:ext uri="{FF2B5EF4-FFF2-40B4-BE49-F238E27FC236}">
                  <a16:creationId xmlns:a16="http://schemas.microsoft.com/office/drawing/2014/main" id="{00000000-0008-0000-0F00-000006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17</xdr:row>
          <xdr:rowOff>19050</xdr:rowOff>
        </xdr:from>
        <xdr:to>
          <xdr:col>1</xdr:col>
          <xdr:colOff>1924050</xdr:colOff>
          <xdr:row>17</xdr:row>
          <xdr:rowOff>219075</xdr:rowOff>
        </xdr:to>
        <xdr:sp macro="" textlink="">
          <xdr:nvSpPr>
            <xdr:cNvPr id="11271" name="Drop Down 7" hidden="1">
              <a:extLst>
                <a:ext uri="{63B3BB69-23CF-44E3-9099-C40C66FF867C}">
                  <a14:compatExt spid="_x0000_s11271"/>
                </a:ext>
                <a:ext uri="{FF2B5EF4-FFF2-40B4-BE49-F238E27FC236}">
                  <a16:creationId xmlns:a16="http://schemas.microsoft.com/office/drawing/2014/main" id="{00000000-0008-0000-0F00-000007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18</xdr:row>
          <xdr:rowOff>19050</xdr:rowOff>
        </xdr:from>
        <xdr:to>
          <xdr:col>1</xdr:col>
          <xdr:colOff>1924050</xdr:colOff>
          <xdr:row>18</xdr:row>
          <xdr:rowOff>219075</xdr:rowOff>
        </xdr:to>
        <xdr:sp macro="" textlink="">
          <xdr:nvSpPr>
            <xdr:cNvPr id="11272" name="Drop Down 8" hidden="1">
              <a:extLst>
                <a:ext uri="{63B3BB69-23CF-44E3-9099-C40C66FF867C}">
                  <a14:compatExt spid="_x0000_s11272"/>
                </a:ext>
                <a:ext uri="{FF2B5EF4-FFF2-40B4-BE49-F238E27FC236}">
                  <a16:creationId xmlns:a16="http://schemas.microsoft.com/office/drawing/2014/main" id="{00000000-0008-0000-0F00-000008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28575</xdr:rowOff>
        </xdr:from>
        <xdr:to>
          <xdr:col>1</xdr:col>
          <xdr:colOff>1924050</xdr:colOff>
          <xdr:row>20</xdr:row>
          <xdr:rowOff>0</xdr:rowOff>
        </xdr:to>
        <xdr:sp macro="" textlink="">
          <xdr:nvSpPr>
            <xdr:cNvPr id="11273" name="Drop Down 9" hidden="1">
              <a:extLst>
                <a:ext uri="{63B3BB69-23CF-44E3-9099-C40C66FF867C}">
                  <a14:compatExt spid="_x0000_s11273"/>
                </a:ext>
                <a:ext uri="{FF2B5EF4-FFF2-40B4-BE49-F238E27FC236}">
                  <a16:creationId xmlns:a16="http://schemas.microsoft.com/office/drawing/2014/main" id="{00000000-0008-0000-0F00-000009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20</xdr:row>
          <xdr:rowOff>19050</xdr:rowOff>
        </xdr:from>
        <xdr:to>
          <xdr:col>1</xdr:col>
          <xdr:colOff>1924050</xdr:colOff>
          <xdr:row>20</xdr:row>
          <xdr:rowOff>219075</xdr:rowOff>
        </xdr:to>
        <xdr:sp macro="" textlink="">
          <xdr:nvSpPr>
            <xdr:cNvPr id="11274" name="Drop Down 10" hidden="1">
              <a:extLst>
                <a:ext uri="{63B3BB69-23CF-44E3-9099-C40C66FF867C}">
                  <a14:compatExt spid="_x0000_s11274"/>
                </a:ext>
                <a:ext uri="{FF2B5EF4-FFF2-40B4-BE49-F238E27FC236}">
                  <a16:creationId xmlns:a16="http://schemas.microsoft.com/office/drawing/2014/main" id="{00000000-0008-0000-0F00-00000A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28575</xdr:rowOff>
        </xdr:from>
        <xdr:to>
          <xdr:col>1</xdr:col>
          <xdr:colOff>1924050</xdr:colOff>
          <xdr:row>22</xdr:row>
          <xdr:rowOff>0</xdr:rowOff>
        </xdr:to>
        <xdr:sp macro="" textlink="">
          <xdr:nvSpPr>
            <xdr:cNvPr id="11275" name="Drop Down 11" hidden="1">
              <a:extLst>
                <a:ext uri="{63B3BB69-23CF-44E3-9099-C40C66FF867C}">
                  <a14:compatExt spid="_x0000_s11275"/>
                </a:ext>
                <a:ext uri="{FF2B5EF4-FFF2-40B4-BE49-F238E27FC236}">
                  <a16:creationId xmlns:a16="http://schemas.microsoft.com/office/drawing/2014/main" id="{00000000-0008-0000-0F00-00000B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22</xdr:row>
          <xdr:rowOff>28575</xdr:rowOff>
        </xdr:from>
        <xdr:to>
          <xdr:col>1</xdr:col>
          <xdr:colOff>1924050</xdr:colOff>
          <xdr:row>23</xdr:row>
          <xdr:rowOff>0</xdr:rowOff>
        </xdr:to>
        <xdr:sp macro="" textlink="">
          <xdr:nvSpPr>
            <xdr:cNvPr id="11276" name="Drop Down 12" hidden="1">
              <a:extLst>
                <a:ext uri="{63B3BB69-23CF-44E3-9099-C40C66FF867C}">
                  <a14:compatExt spid="_x0000_s11276"/>
                </a:ext>
                <a:ext uri="{FF2B5EF4-FFF2-40B4-BE49-F238E27FC236}">
                  <a16:creationId xmlns:a16="http://schemas.microsoft.com/office/drawing/2014/main" id="{00000000-0008-0000-0F00-00000C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1</xdr:col>
          <xdr:colOff>1924050</xdr:colOff>
          <xdr:row>23</xdr:row>
          <xdr:rowOff>219075</xdr:rowOff>
        </xdr:to>
        <xdr:sp macro="" textlink="">
          <xdr:nvSpPr>
            <xdr:cNvPr id="11277" name="Drop Down 13" hidden="1">
              <a:extLst>
                <a:ext uri="{63B3BB69-23CF-44E3-9099-C40C66FF867C}">
                  <a14:compatExt spid="_x0000_s11277"/>
                </a:ext>
                <a:ext uri="{FF2B5EF4-FFF2-40B4-BE49-F238E27FC236}">
                  <a16:creationId xmlns:a16="http://schemas.microsoft.com/office/drawing/2014/main" id="{00000000-0008-0000-0F00-00000D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24</xdr:row>
          <xdr:rowOff>28575</xdr:rowOff>
        </xdr:from>
        <xdr:to>
          <xdr:col>1</xdr:col>
          <xdr:colOff>1924050</xdr:colOff>
          <xdr:row>25</xdr:row>
          <xdr:rowOff>0</xdr:rowOff>
        </xdr:to>
        <xdr:sp macro="" textlink="">
          <xdr:nvSpPr>
            <xdr:cNvPr id="11278" name="Drop Down 14" hidden="1">
              <a:extLst>
                <a:ext uri="{63B3BB69-23CF-44E3-9099-C40C66FF867C}">
                  <a14:compatExt spid="_x0000_s11278"/>
                </a:ext>
                <a:ext uri="{FF2B5EF4-FFF2-40B4-BE49-F238E27FC236}">
                  <a16:creationId xmlns:a16="http://schemas.microsoft.com/office/drawing/2014/main" id="{00000000-0008-0000-0F00-00000E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1</xdr:col>
          <xdr:colOff>1924050</xdr:colOff>
          <xdr:row>25</xdr:row>
          <xdr:rowOff>219075</xdr:rowOff>
        </xdr:to>
        <xdr:sp macro="" textlink="">
          <xdr:nvSpPr>
            <xdr:cNvPr id="11279" name="Drop Down 15" hidden="1">
              <a:extLst>
                <a:ext uri="{63B3BB69-23CF-44E3-9099-C40C66FF867C}">
                  <a14:compatExt spid="_x0000_s11279"/>
                </a:ext>
                <a:ext uri="{FF2B5EF4-FFF2-40B4-BE49-F238E27FC236}">
                  <a16:creationId xmlns:a16="http://schemas.microsoft.com/office/drawing/2014/main" id="{00000000-0008-0000-0F00-00000F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26</xdr:row>
          <xdr:rowOff>19050</xdr:rowOff>
        </xdr:from>
        <xdr:to>
          <xdr:col>1</xdr:col>
          <xdr:colOff>1924050</xdr:colOff>
          <xdr:row>26</xdr:row>
          <xdr:rowOff>219075</xdr:rowOff>
        </xdr:to>
        <xdr:sp macro="" textlink="">
          <xdr:nvSpPr>
            <xdr:cNvPr id="11280" name="Drop Down 16" hidden="1">
              <a:extLst>
                <a:ext uri="{63B3BB69-23CF-44E3-9099-C40C66FF867C}">
                  <a14:compatExt spid="_x0000_s11280"/>
                </a:ext>
                <a:ext uri="{FF2B5EF4-FFF2-40B4-BE49-F238E27FC236}">
                  <a16:creationId xmlns:a16="http://schemas.microsoft.com/office/drawing/2014/main" id="{00000000-0008-0000-0F00-000010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1</xdr:col>
          <xdr:colOff>1924050</xdr:colOff>
          <xdr:row>27</xdr:row>
          <xdr:rowOff>219075</xdr:rowOff>
        </xdr:to>
        <xdr:sp macro="" textlink="">
          <xdr:nvSpPr>
            <xdr:cNvPr id="11281" name="Drop Down 17" hidden="1">
              <a:extLst>
                <a:ext uri="{63B3BB69-23CF-44E3-9099-C40C66FF867C}">
                  <a14:compatExt spid="_x0000_s11281"/>
                </a:ext>
                <a:ext uri="{FF2B5EF4-FFF2-40B4-BE49-F238E27FC236}">
                  <a16:creationId xmlns:a16="http://schemas.microsoft.com/office/drawing/2014/main" id="{00000000-0008-0000-0F00-000011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28</xdr:row>
          <xdr:rowOff>19050</xdr:rowOff>
        </xdr:from>
        <xdr:to>
          <xdr:col>1</xdr:col>
          <xdr:colOff>1924050</xdr:colOff>
          <xdr:row>28</xdr:row>
          <xdr:rowOff>219075</xdr:rowOff>
        </xdr:to>
        <xdr:sp macro="" textlink="">
          <xdr:nvSpPr>
            <xdr:cNvPr id="11282" name="Drop Down 18" hidden="1">
              <a:extLst>
                <a:ext uri="{63B3BB69-23CF-44E3-9099-C40C66FF867C}">
                  <a14:compatExt spid="_x0000_s11282"/>
                </a:ext>
                <a:ext uri="{FF2B5EF4-FFF2-40B4-BE49-F238E27FC236}">
                  <a16:creationId xmlns:a16="http://schemas.microsoft.com/office/drawing/2014/main" id="{00000000-0008-0000-0F00-000012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1</xdr:col>
          <xdr:colOff>1924050</xdr:colOff>
          <xdr:row>29</xdr:row>
          <xdr:rowOff>219075</xdr:rowOff>
        </xdr:to>
        <xdr:sp macro="" textlink="">
          <xdr:nvSpPr>
            <xdr:cNvPr id="11283" name="Drop Down 19" hidden="1">
              <a:extLst>
                <a:ext uri="{63B3BB69-23CF-44E3-9099-C40C66FF867C}">
                  <a14:compatExt spid="_x0000_s11283"/>
                </a:ext>
                <a:ext uri="{FF2B5EF4-FFF2-40B4-BE49-F238E27FC236}">
                  <a16:creationId xmlns:a16="http://schemas.microsoft.com/office/drawing/2014/main" id="{00000000-0008-0000-0F00-000013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30</xdr:row>
          <xdr:rowOff>19050</xdr:rowOff>
        </xdr:from>
        <xdr:to>
          <xdr:col>1</xdr:col>
          <xdr:colOff>1924050</xdr:colOff>
          <xdr:row>30</xdr:row>
          <xdr:rowOff>219075</xdr:rowOff>
        </xdr:to>
        <xdr:sp macro="" textlink="">
          <xdr:nvSpPr>
            <xdr:cNvPr id="11284" name="Drop Down 20" hidden="1">
              <a:extLst>
                <a:ext uri="{63B3BB69-23CF-44E3-9099-C40C66FF867C}">
                  <a14:compatExt spid="_x0000_s11284"/>
                </a:ext>
                <a:ext uri="{FF2B5EF4-FFF2-40B4-BE49-F238E27FC236}">
                  <a16:creationId xmlns:a16="http://schemas.microsoft.com/office/drawing/2014/main" id="{00000000-0008-0000-0F00-000014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31</xdr:row>
          <xdr:rowOff>19050</xdr:rowOff>
        </xdr:from>
        <xdr:to>
          <xdr:col>1</xdr:col>
          <xdr:colOff>1924050</xdr:colOff>
          <xdr:row>31</xdr:row>
          <xdr:rowOff>219075</xdr:rowOff>
        </xdr:to>
        <xdr:sp macro="" textlink="">
          <xdr:nvSpPr>
            <xdr:cNvPr id="11285" name="Drop Down 21" hidden="1">
              <a:extLst>
                <a:ext uri="{63B3BB69-23CF-44E3-9099-C40C66FF867C}">
                  <a14:compatExt spid="_x0000_s11285"/>
                </a:ext>
                <a:ext uri="{FF2B5EF4-FFF2-40B4-BE49-F238E27FC236}">
                  <a16:creationId xmlns:a16="http://schemas.microsoft.com/office/drawing/2014/main" id="{00000000-0008-0000-0F00-000015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32</xdr:row>
          <xdr:rowOff>19050</xdr:rowOff>
        </xdr:from>
        <xdr:to>
          <xdr:col>1</xdr:col>
          <xdr:colOff>1924050</xdr:colOff>
          <xdr:row>32</xdr:row>
          <xdr:rowOff>219075</xdr:rowOff>
        </xdr:to>
        <xdr:sp macro="" textlink="">
          <xdr:nvSpPr>
            <xdr:cNvPr id="11286" name="Drop Down 22" hidden="1">
              <a:extLst>
                <a:ext uri="{63B3BB69-23CF-44E3-9099-C40C66FF867C}">
                  <a14:compatExt spid="_x0000_s11286"/>
                </a:ext>
                <a:ext uri="{FF2B5EF4-FFF2-40B4-BE49-F238E27FC236}">
                  <a16:creationId xmlns:a16="http://schemas.microsoft.com/office/drawing/2014/main" id="{00000000-0008-0000-0F00-000016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33</xdr:row>
          <xdr:rowOff>19050</xdr:rowOff>
        </xdr:from>
        <xdr:to>
          <xdr:col>1</xdr:col>
          <xdr:colOff>1924050</xdr:colOff>
          <xdr:row>33</xdr:row>
          <xdr:rowOff>219075</xdr:rowOff>
        </xdr:to>
        <xdr:sp macro="" textlink="">
          <xdr:nvSpPr>
            <xdr:cNvPr id="11287" name="Drop Down 23" hidden="1">
              <a:extLst>
                <a:ext uri="{63B3BB69-23CF-44E3-9099-C40C66FF867C}">
                  <a14:compatExt spid="_x0000_s11287"/>
                </a:ext>
                <a:ext uri="{FF2B5EF4-FFF2-40B4-BE49-F238E27FC236}">
                  <a16:creationId xmlns:a16="http://schemas.microsoft.com/office/drawing/2014/main" id="{00000000-0008-0000-0F00-000017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34</xdr:row>
          <xdr:rowOff>19050</xdr:rowOff>
        </xdr:from>
        <xdr:to>
          <xdr:col>1</xdr:col>
          <xdr:colOff>1924050</xdr:colOff>
          <xdr:row>34</xdr:row>
          <xdr:rowOff>219075</xdr:rowOff>
        </xdr:to>
        <xdr:sp macro="" textlink="">
          <xdr:nvSpPr>
            <xdr:cNvPr id="11288" name="Drop Down 24" hidden="1">
              <a:extLst>
                <a:ext uri="{63B3BB69-23CF-44E3-9099-C40C66FF867C}">
                  <a14:compatExt spid="_x0000_s11288"/>
                </a:ext>
                <a:ext uri="{FF2B5EF4-FFF2-40B4-BE49-F238E27FC236}">
                  <a16:creationId xmlns:a16="http://schemas.microsoft.com/office/drawing/2014/main" id="{00000000-0008-0000-0F00-000018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35</xdr:row>
          <xdr:rowOff>19050</xdr:rowOff>
        </xdr:from>
        <xdr:to>
          <xdr:col>1</xdr:col>
          <xdr:colOff>1924050</xdr:colOff>
          <xdr:row>35</xdr:row>
          <xdr:rowOff>219075</xdr:rowOff>
        </xdr:to>
        <xdr:sp macro="" textlink="">
          <xdr:nvSpPr>
            <xdr:cNvPr id="11289" name="Drop Down 25" hidden="1">
              <a:extLst>
                <a:ext uri="{63B3BB69-23CF-44E3-9099-C40C66FF867C}">
                  <a14:compatExt spid="_x0000_s11289"/>
                </a:ext>
                <a:ext uri="{FF2B5EF4-FFF2-40B4-BE49-F238E27FC236}">
                  <a16:creationId xmlns:a16="http://schemas.microsoft.com/office/drawing/2014/main" id="{00000000-0008-0000-0F00-000019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36</xdr:row>
          <xdr:rowOff>19050</xdr:rowOff>
        </xdr:from>
        <xdr:to>
          <xdr:col>1</xdr:col>
          <xdr:colOff>1924050</xdr:colOff>
          <xdr:row>36</xdr:row>
          <xdr:rowOff>219075</xdr:rowOff>
        </xdr:to>
        <xdr:sp macro="" textlink="">
          <xdr:nvSpPr>
            <xdr:cNvPr id="11290" name="Drop Down 26" hidden="1">
              <a:extLst>
                <a:ext uri="{63B3BB69-23CF-44E3-9099-C40C66FF867C}">
                  <a14:compatExt spid="_x0000_s11290"/>
                </a:ext>
                <a:ext uri="{FF2B5EF4-FFF2-40B4-BE49-F238E27FC236}">
                  <a16:creationId xmlns:a16="http://schemas.microsoft.com/office/drawing/2014/main" id="{00000000-0008-0000-0F00-00001A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37</xdr:row>
          <xdr:rowOff>19050</xdr:rowOff>
        </xdr:from>
        <xdr:to>
          <xdr:col>1</xdr:col>
          <xdr:colOff>1924050</xdr:colOff>
          <xdr:row>37</xdr:row>
          <xdr:rowOff>219075</xdr:rowOff>
        </xdr:to>
        <xdr:sp macro="" textlink="">
          <xdr:nvSpPr>
            <xdr:cNvPr id="11291" name="Drop Down 27" hidden="1">
              <a:extLst>
                <a:ext uri="{63B3BB69-23CF-44E3-9099-C40C66FF867C}">
                  <a14:compatExt spid="_x0000_s11291"/>
                </a:ext>
                <a:ext uri="{FF2B5EF4-FFF2-40B4-BE49-F238E27FC236}">
                  <a16:creationId xmlns:a16="http://schemas.microsoft.com/office/drawing/2014/main" id="{00000000-0008-0000-0F00-00001B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1</xdr:col>
          <xdr:colOff>1924050</xdr:colOff>
          <xdr:row>38</xdr:row>
          <xdr:rowOff>219075</xdr:rowOff>
        </xdr:to>
        <xdr:sp macro="" textlink="">
          <xdr:nvSpPr>
            <xdr:cNvPr id="11292" name="Drop Down 28" hidden="1">
              <a:extLst>
                <a:ext uri="{63B3BB69-23CF-44E3-9099-C40C66FF867C}">
                  <a14:compatExt spid="_x0000_s11292"/>
                </a:ext>
                <a:ext uri="{FF2B5EF4-FFF2-40B4-BE49-F238E27FC236}">
                  <a16:creationId xmlns:a16="http://schemas.microsoft.com/office/drawing/2014/main" id="{00000000-0008-0000-0F00-00001C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39</xdr:row>
          <xdr:rowOff>19050</xdr:rowOff>
        </xdr:from>
        <xdr:to>
          <xdr:col>1</xdr:col>
          <xdr:colOff>1924050</xdr:colOff>
          <xdr:row>39</xdr:row>
          <xdr:rowOff>219075</xdr:rowOff>
        </xdr:to>
        <xdr:sp macro="" textlink="">
          <xdr:nvSpPr>
            <xdr:cNvPr id="11293" name="Drop Down 29" hidden="1">
              <a:extLst>
                <a:ext uri="{63B3BB69-23CF-44E3-9099-C40C66FF867C}">
                  <a14:compatExt spid="_x0000_s11293"/>
                </a:ext>
                <a:ext uri="{FF2B5EF4-FFF2-40B4-BE49-F238E27FC236}">
                  <a16:creationId xmlns:a16="http://schemas.microsoft.com/office/drawing/2014/main" id="{00000000-0008-0000-0F00-00001D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40</xdr:row>
          <xdr:rowOff>19050</xdr:rowOff>
        </xdr:from>
        <xdr:to>
          <xdr:col>1</xdr:col>
          <xdr:colOff>1924050</xdr:colOff>
          <xdr:row>40</xdr:row>
          <xdr:rowOff>219075</xdr:rowOff>
        </xdr:to>
        <xdr:sp macro="" textlink="">
          <xdr:nvSpPr>
            <xdr:cNvPr id="11294" name="Drop Down 30" hidden="1">
              <a:extLst>
                <a:ext uri="{63B3BB69-23CF-44E3-9099-C40C66FF867C}">
                  <a14:compatExt spid="_x0000_s11294"/>
                </a:ext>
                <a:ext uri="{FF2B5EF4-FFF2-40B4-BE49-F238E27FC236}">
                  <a16:creationId xmlns:a16="http://schemas.microsoft.com/office/drawing/2014/main" id="{00000000-0008-0000-0F00-00001E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41</xdr:row>
          <xdr:rowOff>19050</xdr:rowOff>
        </xdr:from>
        <xdr:to>
          <xdr:col>1</xdr:col>
          <xdr:colOff>1924050</xdr:colOff>
          <xdr:row>41</xdr:row>
          <xdr:rowOff>219075</xdr:rowOff>
        </xdr:to>
        <xdr:sp macro="" textlink="">
          <xdr:nvSpPr>
            <xdr:cNvPr id="11295" name="Drop Down 31" hidden="1">
              <a:extLst>
                <a:ext uri="{63B3BB69-23CF-44E3-9099-C40C66FF867C}">
                  <a14:compatExt spid="_x0000_s11295"/>
                </a:ext>
                <a:ext uri="{FF2B5EF4-FFF2-40B4-BE49-F238E27FC236}">
                  <a16:creationId xmlns:a16="http://schemas.microsoft.com/office/drawing/2014/main" id="{00000000-0008-0000-0F00-00001F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42</xdr:row>
          <xdr:rowOff>19050</xdr:rowOff>
        </xdr:from>
        <xdr:to>
          <xdr:col>1</xdr:col>
          <xdr:colOff>1924050</xdr:colOff>
          <xdr:row>42</xdr:row>
          <xdr:rowOff>219075</xdr:rowOff>
        </xdr:to>
        <xdr:sp macro="" textlink="">
          <xdr:nvSpPr>
            <xdr:cNvPr id="11296" name="Drop Down 32" hidden="1">
              <a:extLst>
                <a:ext uri="{63B3BB69-23CF-44E3-9099-C40C66FF867C}">
                  <a14:compatExt spid="_x0000_s11296"/>
                </a:ext>
                <a:ext uri="{FF2B5EF4-FFF2-40B4-BE49-F238E27FC236}">
                  <a16:creationId xmlns:a16="http://schemas.microsoft.com/office/drawing/2014/main" id="{00000000-0008-0000-0F00-000020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43</xdr:row>
          <xdr:rowOff>19050</xdr:rowOff>
        </xdr:from>
        <xdr:to>
          <xdr:col>1</xdr:col>
          <xdr:colOff>1924050</xdr:colOff>
          <xdr:row>43</xdr:row>
          <xdr:rowOff>219075</xdr:rowOff>
        </xdr:to>
        <xdr:sp macro="" textlink="">
          <xdr:nvSpPr>
            <xdr:cNvPr id="11297" name="Drop Down 33" hidden="1">
              <a:extLst>
                <a:ext uri="{63B3BB69-23CF-44E3-9099-C40C66FF867C}">
                  <a14:compatExt spid="_x0000_s11297"/>
                </a:ext>
                <a:ext uri="{FF2B5EF4-FFF2-40B4-BE49-F238E27FC236}">
                  <a16:creationId xmlns:a16="http://schemas.microsoft.com/office/drawing/2014/main" id="{00000000-0008-0000-0F00-000021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44</xdr:row>
          <xdr:rowOff>19050</xdr:rowOff>
        </xdr:from>
        <xdr:to>
          <xdr:col>1</xdr:col>
          <xdr:colOff>1924050</xdr:colOff>
          <xdr:row>44</xdr:row>
          <xdr:rowOff>219075</xdr:rowOff>
        </xdr:to>
        <xdr:sp macro="" textlink="">
          <xdr:nvSpPr>
            <xdr:cNvPr id="11298" name="Drop Down 34" hidden="1">
              <a:extLst>
                <a:ext uri="{63B3BB69-23CF-44E3-9099-C40C66FF867C}">
                  <a14:compatExt spid="_x0000_s11298"/>
                </a:ext>
                <a:ext uri="{FF2B5EF4-FFF2-40B4-BE49-F238E27FC236}">
                  <a16:creationId xmlns:a16="http://schemas.microsoft.com/office/drawing/2014/main" id="{00000000-0008-0000-0F00-000022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45</xdr:row>
          <xdr:rowOff>19050</xdr:rowOff>
        </xdr:from>
        <xdr:to>
          <xdr:col>1</xdr:col>
          <xdr:colOff>1924050</xdr:colOff>
          <xdr:row>45</xdr:row>
          <xdr:rowOff>219075</xdr:rowOff>
        </xdr:to>
        <xdr:sp macro="" textlink="">
          <xdr:nvSpPr>
            <xdr:cNvPr id="11299" name="Drop Down 35" hidden="1">
              <a:extLst>
                <a:ext uri="{63B3BB69-23CF-44E3-9099-C40C66FF867C}">
                  <a14:compatExt spid="_x0000_s11299"/>
                </a:ext>
                <a:ext uri="{FF2B5EF4-FFF2-40B4-BE49-F238E27FC236}">
                  <a16:creationId xmlns:a16="http://schemas.microsoft.com/office/drawing/2014/main" id="{00000000-0008-0000-0F00-000023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1</xdr:col>
          <xdr:colOff>1924050</xdr:colOff>
          <xdr:row>46</xdr:row>
          <xdr:rowOff>219075</xdr:rowOff>
        </xdr:to>
        <xdr:sp macro="" textlink="">
          <xdr:nvSpPr>
            <xdr:cNvPr id="11300" name="Drop Down 36" hidden="1">
              <a:extLst>
                <a:ext uri="{63B3BB69-23CF-44E3-9099-C40C66FF867C}">
                  <a14:compatExt spid="_x0000_s11300"/>
                </a:ext>
                <a:ext uri="{FF2B5EF4-FFF2-40B4-BE49-F238E27FC236}">
                  <a16:creationId xmlns:a16="http://schemas.microsoft.com/office/drawing/2014/main" id="{00000000-0008-0000-0F00-000024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47</xdr:row>
          <xdr:rowOff>19050</xdr:rowOff>
        </xdr:from>
        <xdr:to>
          <xdr:col>1</xdr:col>
          <xdr:colOff>1924050</xdr:colOff>
          <xdr:row>47</xdr:row>
          <xdr:rowOff>219075</xdr:rowOff>
        </xdr:to>
        <xdr:sp macro="" textlink="">
          <xdr:nvSpPr>
            <xdr:cNvPr id="11301" name="Drop Down 37" hidden="1">
              <a:extLst>
                <a:ext uri="{63B3BB69-23CF-44E3-9099-C40C66FF867C}">
                  <a14:compatExt spid="_x0000_s11301"/>
                </a:ext>
                <a:ext uri="{FF2B5EF4-FFF2-40B4-BE49-F238E27FC236}">
                  <a16:creationId xmlns:a16="http://schemas.microsoft.com/office/drawing/2014/main" id="{00000000-0008-0000-0F00-000025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1</xdr:col>
          <xdr:colOff>1924050</xdr:colOff>
          <xdr:row>48</xdr:row>
          <xdr:rowOff>219075</xdr:rowOff>
        </xdr:to>
        <xdr:sp macro="" textlink="">
          <xdr:nvSpPr>
            <xdr:cNvPr id="11302" name="Drop Down 38" hidden="1">
              <a:extLst>
                <a:ext uri="{63B3BB69-23CF-44E3-9099-C40C66FF867C}">
                  <a14:compatExt spid="_x0000_s11302"/>
                </a:ext>
                <a:ext uri="{FF2B5EF4-FFF2-40B4-BE49-F238E27FC236}">
                  <a16:creationId xmlns:a16="http://schemas.microsoft.com/office/drawing/2014/main" id="{00000000-0008-0000-0F00-000026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49</xdr:row>
          <xdr:rowOff>19050</xdr:rowOff>
        </xdr:from>
        <xdr:to>
          <xdr:col>1</xdr:col>
          <xdr:colOff>1924050</xdr:colOff>
          <xdr:row>49</xdr:row>
          <xdr:rowOff>219075</xdr:rowOff>
        </xdr:to>
        <xdr:sp macro="" textlink="">
          <xdr:nvSpPr>
            <xdr:cNvPr id="11303" name="Drop Down 39" hidden="1">
              <a:extLst>
                <a:ext uri="{63B3BB69-23CF-44E3-9099-C40C66FF867C}">
                  <a14:compatExt spid="_x0000_s11303"/>
                </a:ext>
                <a:ext uri="{FF2B5EF4-FFF2-40B4-BE49-F238E27FC236}">
                  <a16:creationId xmlns:a16="http://schemas.microsoft.com/office/drawing/2014/main" id="{00000000-0008-0000-0F00-000027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1</xdr:col>
          <xdr:colOff>1924050</xdr:colOff>
          <xdr:row>50</xdr:row>
          <xdr:rowOff>219075</xdr:rowOff>
        </xdr:to>
        <xdr:sp macro="" textlink="">
          <xdr:nvSpPr>
            <xdr:cNvPr id="11304" name="Drop Down 40" hidden="1">
              <a:extLst>
                <a:ext uri="{63B3BB69-23CF-44E3-9099-C40C66FF867C}">
                  <a14:compatExt spid="_x0000_s11304"/>
                </a:ext>
                <a:ext uri="{FF2B5EF4-FFF2-40B4-BE49-F238E27FC236}">
                  <a16:creationId xmlns:a16="http://schemas.microsoft.com/office/drawing/2014/main" id="{00000000-0008-0000-0F00-000028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51</xdr:row>
          <xdr:rowOff>19050</xdr:rowOff>
        </xdr:from>
        <xdr:to>
          <xdr:col>1</xdr:col>
          <xdr:colOff>1924050</xdr:colOff>
          <xdr:row>51</xdr:row>
          <xdr:rowOff>219075</xdr:rowOff>
        </xdr:to>
        <xdr:sp macro="" textlink="">
          <xdr:nvSpPr>
            <xdr:cNvPr id="11305" name="Drop Down 41" hidden="1">
              <a:extLst>
                <a:ext uri="{63B3BB69-23CF-44E3-9099-C40C66FF867C}">
                  <a14:compatExt spid="_x0000_s11305"/>
                </a:ext>
                <a:ext uri="{FF2B5EF4-FFF2-40B4-BE49-F238E27FC236}">
                  <a16:creationId xmlns:a16="http://schemas.microsoft.com/office/drawing/2014/main" id="{00000000-0008-0000-0F00-000029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1</xdr:col>
          <xdr:colOff>1924050</xdr:colOff>
          <xdr:row>52</xdr:row>
          <xdr:rowOff>219075</xdr:rowOff>
        </xdr:to>
        <xdr:sp macro="" textlink="">
          <xdr:nvSpPr>
            <xdr:cNvPr id="11306" name="Drop Down 42" hidden="1">
              <a:extLst>
                <a:ext uri="{63B3BB69-23CF-44E3-9099-C40C66FF867C}">
                  <a14:compatExt spid="_x0000_s11306"/>
                </a:ext>
                <a:ext uri="{FF2B5EF4-FFF2-40B4-BE49-F238E27FC236}">
                  <a16:creationId xmlns:a16="http://schemas.microsoft.com/office/drawing/2014/main" id="{00000000-0008-0000-0F00-00002A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53</xdr:row>
          <xdr:rowOff>19050</xdr:rowOff>
        </xdr:from>
        <xdr:to>
          <xdr:col>1</xdr:col>
          <xdr:colOff>1924050</xdr:colOff>
          <xdr:row>53</xdr:row>
          <xdr:rowOff>219075</xdr:rowOff>
        </xdr:to>
        <xdr:sp macro="" textlink="">
          <xdr:nvSpPr>
            <xdr:cNvPr id="11307" name="Drop Down 43" hidden="1">
              <a:extLst>
                <a:ext uri="{63B3BB69-23CF-44E3-9099-C40C66FF867C}">
                  <a14:compatExt spid="_x0000_s11307"/>
                </a:ext>
                <a:ext uri="{FF2B5EF4-FFF2-40B4-BE49-F238E27FC236}">
                  <a16:creationId xmlns:a16="http://schemas.microsoft.com/office/drawing/2014/main" id="{00000000-0008-0000-0F00-00002B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1</xdr:col>
          <xdr:colOff>1924050</xdr:colOff>
          <xdr:row>54</xdr:row>
          <xdr:rowOff>219075</xdr:rowOff>
        </xdr:to>
        <xdr:sp macro="" textlink="">
          <xdr:nvSpPr>
            <xdr:cNvPr id="11308" name="Drop Down 44" hidden="1">
              <a:extLst>
                <a:ext uri="{63B3BB69-23CF-44E3-9099-C40C66FF867C}">
                  <a14:compatExt spid="_x0000_s11308"/>
                </a:ext>
                <a:ext uri="{FF2B5EF4-FFF2-40B4-BE49-F238E27FC236}">
                  <a16:creationId xmlns:a16="http://schemas.microsoft.com/office/drawing/2014/main" id="{00000000-0008-0000-0F00-00002C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55</xdr:row>
          <xdr:rowOff>19050</xdr:rowOff>
        </xdr:from>
        <xdr:to>
          <xdr:col>1</xdr:col>
          <xdr:colOff>1924050</xdr:colOff>
          <xdr:row>55</xdr:row>
          <xdr:rowOff>219075</xdr:rowOff>
        </xdr:to>
        <xdr:sp macro="" textlink="">
          <xdr:nvSpPr>
            <xdr:cNvPr id="11309" name="Drop Down 45" hidden="1">
              <a:extLst>
                <a:ext uri="{63B3BB69-23CF-44E3-9099-C40C66FF867C}">
                  <a14:compatExt spid="_x0000_s11309"/>
                </a:ext>
                <a:ext uri="{FF2B5EF4-FFF2-40B4-BE49-F238E27FC236}">
                  <a16:creationId xmlns:a16="http://schemas.microsoft.com/office/drawing/2014/main" id="{00000000-0008-0000-0F00-00002D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247650</xdr:colOff>
          <xdr:row>59</xdr:row>
          <xdr:rowOff>0</xdr:rowOff>
        </xdr:from>
        <xdr:to>
          <xdr:col>10</xdr:col>
          <xdr:colOff>476250</xdr:colOff>
          <xdr:row>59</xdr:row>
          <xdr:rowOff>190500</xdr:rowOff>
        </xdr:to>
        <xdr:sp macro="" textlink="">
          <xdr:nvSpPr>
            <xdr:cNvPr id="11310" name="Check Box 46" hidden="1">
              <a:extLst>
                <a:ext uri="{63B3BB69-23CF-44E3-9099-C40C66FF867C}">
                  <a14:compatExt spid="_x0000_s11310"/>
                </a:ext>
                <a:ext uri="{FF2B5EF4-FFF2-40B4-BE49-F238E27FC236}">
                  <a16:creationId xmlns:a16="http://schemas.microsoft.com/office/drawing/2014/main" id="{00000000-0008-0000-0F00-00002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11</xdr:row>
          <xdr:rowOff>9525</xdr:rowOff>
        </xdr:from>
        <xdr:to>
          <xdr:col>1</xdr:col>
          <xdr:colOff>1924050</xdr:colOff>
          <xdr:row>11</xdr:row>
          <xdr:rowOff>209550</xdr:rowOff>
        </xdr:to>
        <xdr:sp macro="" textlink="">
          <xdr:nvSpPr>
            <xdr:cNvPr id="12289" name="Drop Down 1" hidden="1">
              <a:extLst>
                <a:ext uri="{63B3BB69-23CF-44E3-9099-C40C66FF867C}">
                  <a14:compatExt spid="_x0000_s12289"/>
                </a:ext>
                <a:ext uri="{FF2B5EF4-FFF2-40B4-BE49-F238E27FC236}">
                  <a16:creationId xmlns:a16="http://schemas.microsoft.com/office/drawing/2014/main" id="{00000000-0008-0000-1000-00000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12</xdr:row>
          <xdr:rowOff>9525</xdr:rowOff>
        </xdr:from>
        <xdr:to>
          <xdr:col>1</xdr:col>
          <xdr:colOff>1924050</xdr:colOff>
          <xdr:row>12</xdr:row>
          <xdr:rowOff>209550</xdr:rowOff>
        </xdr:to>
        <xdr:sp macro="" textlink="">
          <xdr:nvSpPr>
            <xdr:cNvPr id="12290" name="Drop Down 2" hidden="1">
              <a:extLst>
                <a:ext uri="{63B3BB69-23CF-44E3-9099-C40C66FF867C}">
                  <a14:compatExt spid="_x0000_s12290"/>
                </a:ext>
                <a:ext uri="{FF2B5EF4-FFF2-40B4-BE49-F238E27FC236}">
                  <a16:creationId xmlns:a16="http://schemas.microsoft.com/office/drawing/2014/main" id="{00000000-0008-0000-1000-00000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13</xdr:row>
          <xdr:rowOff>19050</xdr:rowOff>
        </xdr:from>
        <xdr:to>
          <xdr:col>1</xdr:col>
          <xdr:colOff>1924050</xdr:colOff>
          <xdr:row>13</xdr:row>
          <xdr:rowOff>219075</xdr:rowOff>
        </xdr:to>
        <xdr:sp macro="" textlink="">
          <xdr:nvSpPr>
            <xdr:cNvPr id="12291" name="Drop Down 3" hidden="1">
              <a:extLst>
                <a:ext uri="{63B3BB69-23CF-44E3-9099-C40C66FF867C}">
                  <a14:compatExt spid="_x0000_s12291"/>
                </a:ext>
                <a:ext uri="{FF2B5EF4-FFF2-40B4-BE49-F238E27FC236}">
                  <a16:creationId xmlns:a16="http://schemas.microsoft.com/office/drawing/2014/main" id="{00000000-0008-0000-1000-00000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14</xdr:row>
          <xdr:rowOff>19050</xdr:rowOff>
        </xdr:from>
        <xdr:to>
          <xdr:col>1</xdr:col>
          <xdr:colOff>1924050</xdr:colOff>
          <xdr:row>14</xdr:row>
          <xdr:rowOff>219075</xdr:rowOff>
        </xdr:to>
        <xdr:sp macro="" textlink="">
          <xdr:nvSpPr>
            <xdr:cNvPr id="12292" name="Drop Down 4" hidden="1">
              <a:extLst>
                <a:ext uri="{63B3BB69-23CF-44E3-9099-C40C66FF867C}">
                  <a14:compatExt spid="_x0000_s12292"/>
                </a:ext>
                <a:ext uri="{FF2B5EF4-FFF2-40B4-BE49-F238E27FC236}">
                  <a16:creationId xmlns:a16="http://schemas.microsoft.com/office/drawing/2014/main" id="{00000000-0008-0000-1000-00000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15</xdr:row>
          <xdr:rowOff>19050</xdr:rowOff>
        </xdr:from>
        <xdr:to>
          <xdr:col>1</xdr:col>
          <xdr:colOff>1924050</xdr:colOff>
          <xdr:row>15</xdr:row>
          <xdr:rowOff>219075</xdr:rowOff>
        </xdr:to>
        <xdr:sp macro="" textlink="">
          <xdr:nvSpPr>
            <xdr:cNvPr id="12293" name="Drop Down 5" hidden="1">
              <a:extLst>
                <a:ext uri="{63B3BB69-23CF-44E3-9099-C40C66FF867C}">
                  <a14:compatExt spid="_x0000_s12293"/>
                </a:ext>
                <a:ext uri="{FF2B5EF4-FFF2-40B4-BE49-F238E27FC236}">
                  <a16:creationId xmlns:a16="http://schemas.microsoft.com/office/drawing/2014/main" id="{00000000-0008-0000-1000-00000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16</xdr:row>
          <xdr:rowOff>19050</xdr:rowOff>
        </xdr:from>
        <xdr:to>
          <xdr:col>1</xdr:col>
          <xdr:colOff>1924050</xdr:colOff>
          <xdr:row>16</xdr:row>
          <xdr:rowOff>219075</xdr:rowOff>
        </xdr:to>
        <xdr:sp macro="" textlink="">
          <xdr:nvSpPr>
            <xdr:cNvPr id="12294" name="Drop Down 6" hidden="1">
              <a:extLst>
                <a:ext uri="{63B3BB69-23CF-44E3-9099-C40C66FF867C}">
                  <a14:compatExt spid="_x0000_s12294"/>
                </a:ext>
                <a:ext uri="{FF2B5EF4-FFF2-40B4-BE49-F238E27FC236}">
                  <a16:creationId xmlns:a16="http://schemas.microsoft.com/office/drawing/2014/main" id="{00000000-0008-0000-1000-00000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17</xdr:row>
          <xdr:rowOff>19050</xdr:rowOff>
        </xdr:from>
        <xdr:to>
          <xdr:col>1</xdr:col>
          <xdr:colOff>1924050</xdr:colOff>
          <xdr:row>17</xdr:row>
          <xdr:rowOff>219075</xdr:rowOff>
        </xdr:to>
        <xdr:sp macro="" textlink="">
          <xdr:nvSpPr>
            <xdr:cNvPr id="12295" name="Drop Down 7" hidden="1">
              <a:extLst>
                <a:ext uri="{63B3BB69-23CF-44E3-9099-C40C66FF867C}">
                  <a14:compatExt spid="_x0000_s12295"/>
                </a:ext>
                <a:ext uri="{FF2B5EF4-FFF2-40B4-BE49-F238E27FC236}">
                  <a16:creationId xmlns:a16="http://schemas.microsoft.com/office/drawing/2014/main" id="{00000000-0008-0000-1000-00000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18</xdr:row>
          <xdr:rowOff>19050</xdr:rowOff>
        </xdr:from>
        <xdr:to>
          <xdr:col>1</xdr:col>
          <xdr:colOff>1924050</xdr:colOff>
          <xdr:row>18</xdr:row>
          <xdr:rowOff>219075</xdr:rowOff>
        </xdr:to>
        <xdr:sp macro="" textlink="">
          <xdr:nvSpPr>
            <xdr:cNvPr id="12296" name="Drop Down 8" hidden="1">
              <a:extLst>
                <a:ext uri="{63B3BB69-23CF-44E3-9099-C40C66FF867C}">
                  <a14:compatExt spid="_x0000_s12296"/>
                </a:ext>
                <a:ext uri="{FF2B5EF4-FFF2-40B4-BE49-F238E27FC236}">
                  <a16:creationId xmlns:a16="http://schemas.microsoft.com/office/drawing/2014/main" id="{00000000-0008-0000-1000-00000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28575</xdr:rowOff>
        </xdr:from>
        <xdr:to>
          <xdr:col>1</xdr:col>
          <xdr:colOff>1924050</xdr:colOff>
          <xdr:row>20</xdr:row>
          <xdr:rowOff>0</xdr:rowOff>
        </xdr:to>
        <xdr:sp macro="" textlink="">
          <xdr:nvSpPr>
            <xdr:cNvPr id="12297" name="Drop Down 9" hidden="1">
              <a:extLst>
                <a:ext uri="{63B3BB69-23CF-44E3-9099-C40C66FF867C}">
                  <a14:compatExt spid="_x0000_s12297"/>
                </a:ext>
                <a:ext uri="{FF2B5EF4-FFF2-40B4-BE49-F238E27FC236}">
                  <a16:creationId xmlns:a16="http://schemas.microsoft.com/office/drawing/2014/main" id="{00000000-0008-0000-1000-00000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20</xdr:row>
          <xdr:rowOff>19050</xdr:rowOff>
        </xdr:from>
        <xdr:to>
          <xdr:col>1</xdr:col>
          <xdr:colOff>1924050</xdr:colOff>
          <xdr:row>20</xdr:row>
          <xdr:rowOff>219075</xdr:rowOff>
        </xdr:to>
        <xdr:sp macro="" textlink="">
          <xdr:nvSpPr>
            <xdr:cNvPr id="12298" name="Drop Down 10" hidden="1">
              <a:extLst>
                <a:ext uri="{63B3BB69-23CF-44E3-9099-C40C66FF867C}">
                  <a14:compatExt spid="_x0000_s12298"/>
                </a:ext>
                <a:ext uri="{FF2B5EF4-FFF2-40B4-BE49-F238E27FC236}">
                  <a16:creationId xmlns:a16="http://schemas.microsoft.com/office/drawing/2014/main" id="{00000000-0008-0000-1000-00000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28575</xdr:rowOff>
        </xdr:from>
        <xdr:to>
          <xdr:col>1</xdr:col>
          <xdr:colOff>1924050</xdr:colOff>
          <xdr:row>22</xdr:row>
          <xdr:rowOff>0</xdr:rowOff>
        </xdr:to>
        <xdr:sp macro="" textlink="">
          <xdr:nvSpPr>
            <xdr:cNvPr id="12299" name="Drop Down 11" hidden="1">
              <a:extLst>
                <a:ext uri="{63B3BB69-23CF-44E3-9099-C40C66FF867C}">
                  <a14:compatExt spid="_x0000_s12299"/>
                </a:ext>
                <a:ext uri="{FF2B5EF4-FFF2-40B4-BE49-F238E27FC236}">
                  <a16:creationId xmlns:a16="http://schemas.microsoft.com/office/drawing/2014/main" id="{00000000-0008-0000-1000-00000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22</xdr:row>
          <xdr:rowOff>28575</xdr:rowOff>
        </xdr:from>
        <xdr:to>
          <xdr:col>1</xdr:col>
          <xdr:colOff>1924050</xdr:colOff>
          <xdr:row>23</xdr:row>
          <xdr:rowOff>0</xdr:rowOff>
        </xdr:to>
        <xdr:sp macro="" textlink="">
          <xdr:nvSpPr>
            <xdr:cNvPr id="12300" name="Drop Down 12" hidden="1">
              <a:extLst>
                <a:ext uri="{63B3BB69-23CF-44E3-9099-C40C66FF867C}">
                  <a14:compatExt spid="_x0000_s12300"/>
                </a:ext>
                <a:ext uri="{FF2B5EF4-FFF2-40B4-BE49-F238E27FC236}">
                  <a16:creationId xmlns:a16="http://schemas.microsoft.com/office/drawing/2014/main" id="{00000000-0008-0000-1000-00000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1</xdr:col>
          <xdr:colOff>1924050</xdr:colOff>
          <xdr:row>23</xdr:row>
          <xdr:rowOff>219075</xdr:rowOff>
        </xdr:to>
        <xdr:sp macro="" textlink="">
          <xdr:nvSpPr>
            <xdr:cNvPr id="12301" name="Drop Down 13" hidden="1">
              <a:extLst>
                <a:ext uri="{63B3BB69-23CF-44E3-9099-C40C66FF867C}">
                  <a14:compatExt spid="_x0000_s12301"/>
                </a:ext>
                <a:ext uri="{FF2B5EF4-FFF2-40B4-BE49-F238E27FC236}">
                  <a16:creationId xmlns:a16="http://schemas.microsoft.com/office/drawing/2014/main" id="{00000000-0008-0000-1000-00000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24</xdr:row>
          <xdr:rowOff>28575</xdr:rowOff>
        </xdr:from>
        <xdr:to>
          <xdr:col>1</xdr:col>
          <xdr:colOff>1924050</xdr:colOff>
          <xdr:row>25</xdr:row>
          <xdr:rowOff>0</xdr:rowOff>
        </xdr:to>
        <xdr:sp macro="" textlink="">
          <xdr:nvSpPr>
            <xdr:cNvPr id="12302" name="Drop Down 14" hidden="1">
              <a:extLst>
                <a:ext uri="{63B3BB69-23CF-44E3-9099-C40C66FF867C}">
                  <a14:compatExt spid="_x0000_s12302"/>
                </a:ext>
                <a:ext uri="{FF2B5EF4-FFF2-40B4-BE49-F238E27FC236}">
                  <a16:creationId xmlns:a16="http://schemas.microsoft.com/office/drawing/2014/main" id="{00000000-0008-0000-1000-00000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1</xdr:col>
          <xdr:colOff>1924050</xdr:colOff>
          <xdr:row>25</xdr:row>
          <xdr:rowOff>219075</xdr:rowOff>
        </xdr:to>
        <xdr:sp macro="" textlink="">
          <xdr:nvSpPr>
            <xdr:cNvPr id="12303" name="Drop Down 15" hidden="1">
              <a:extLst>
                <a:ext uri="{63B3BB69-23CF-44E3-9099-C40C66FF867C}">
                  <a14:compatExt spid="_x0000_s12303"/>
                </a:ext>
                <a:ext uri="{FF2B5EF4-FFF2-40B4-BE49-F238E27FC236}">
                  <a16:creationId xmlns:a16="http://schemas.microsoft.com/office/drawing/2014/main" id="{00000000-0008-0000-1000-00000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26</xdr:row>
          <xdr:rowOff>19050</xdr:rowOff>
        </xdr:from>
        <xdr:to>
          <xdr:col>1</xdr:col>
          <xdr:colOff>1924050</xdr:colOff>
          <xdr:row>26</xdr:row>
          <xdr:rowOff>219075</xdr:rowOff>
        </xdr:to>
        <xdr:sp macro="" textlink="">
          <xdr:nvSpPr>
            <xdr:cNvPr id="12304" name="Drop Down 16" hidden="1">
              <a:extLst>
                <a:ext uri="{63B3BB69-23CF-44E3-9099-C40C66FF867C}">
                  <a14:compatExt spid="_x0000_s12304"/>
                </a:ext>
                <a:ext uri="{FF2B5EF4-FFF2-40B4-BE49-F238E27FC236}">
                  <a16:creationId xmlns:a16="http://schemas.microsoft.com/office/drawing/2014/main" id="{00000000-0008-0000-1000-00001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1</xdr:col>
          <xdr:colOff>1924050</xdr:colOff>
          <xdr:row>27</xdr:row>
          <xdr:rowOff>219075</xdr:rowOff>
        </xdr:to>
        <xdr:sp macro="" textlink="">
          <xdr:nvSpPr>
            <xdr:cNvPr id="12305" name="Drop Down 17" hidden="1">
              <a:extLst>
                <a:ext uri="{63B3BB69-23CF-44E3-9099-C40C66FF867C}">
                  <a14:compatExt spid="_x0000_s12305"/>
                </a:ext>
                <a:ext uri="{FF2B5EF4-FFF2-40B4-BE49-F238E27FC236}">
                  <a16:creationId xmlns:a16="http://schemas.microsoft.com/office/drawing/2014/main" id="{00000000-0008-0000-1000-00001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28</xdr:row>
          <xdr:rowOff>19050</xdr:rowOff>
        </xdr:from>
        <xdr:to>
          <xdr:col>1</xdr:col>
          <xdr:colOff>1924050</xdr:colOff>
          <xdr:row>28</xdr:row>
          <xdr:rowOff>219075</xdr:rowOff>
        </xdr:to>
        <xdr:sp macro="" textlink="">
          <xdr:nvSpPr>
            <xdr:cNvPr id="12306" name="Drop Down 18" hidden="1">
              <a:extLst>
                <a:ext uri="{63B3BB69-23CF-44E3-9099-C40C66FF867C}">
                  <a14:compatExt spid="_x0000_s12306"/>
                </a:ext>
                <a:ext uri="{FF2B5EF4-FFF2-40B4-BE49-F238E27FC236}">
                  <a16:creationId xmlns:a16="http://schemas.microsoft.com/office/drawing/2014/main" id="{00000000-0008-0000-1000-00001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1</xdr:col>
          <xdr:colOff>1924050</xdr:colOff>
          <xdr:row>29</xdr:row>
          <xdr:rowOff>219075</xdr:rowOff>
        </xdr:to>
        <xdr:sp macro="" textlink="">
          <xdr:nvSpPr>
            <xdr:cNvPr id="12307" name="Drop Down 19" hidden="1">
              <a:extLst>
                <a:ext uri="{63B3BB69-23CF-44E3-9099-C40C66FF867C}">
                  <a14:compatExt spid="_x0000_s12307"/>
                </a:ext>
                <a:ext uri="{FF2B5EF4-FFF2-40B4-BE49-F238E27FC236}">
                  <a16:creationId xmlns:a16="http://schemas.microsoft.com/office/drawing/2014/main" id="{00000000-0008-0000-1000-00001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30</xdr:row>
          <xdr:rowOff>19050</xdr:rowOff>
        </xdr:from>
        <xdr:to>
          <xdr:col>1</xdr:col>
          <xdr:colOff>1924050</xdr:colOff>
          <xdr:row>30</xdr:row>
          <xdr:rowOff>219075</xdr:rowOff>
        </xdr:to>
        <xdr:sp macro="" textlink="">
          <xdr:nvSpPr>
            <xdr:cNvPr id="12308" name="Drop Down 20" hidden="1">
              <a:extLst>
                <a:ext uri="{63B3BB69-23CF-44E3-9099-C40C66FF867C}">
                  <a14:compatExt spid="_x0000_s12308"/>
                </a:ext>
                <a:ext uri="{FF2B5EF4-FFF2-40B4-BE49-F238E27FC236}">
                  <a16:creationId xmlns:a16="http://schemas.microsoft.com/office/drawing/2014/main" id="{00000000-0008-0000-1000-00001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31</xdr:row>
          <xdr:rowOff>19050</xdr:rowOff>
        </xdr:from>
        <xdr:to>
          <xdr:col>1</xdr:col>
          <xdr:colOff>1924050</xdr:colOff>
          <xdr:row>31</xdr:row>
          <xdr:rowOff>219075</xdr:rowOff>
        </xdr:to>
        <xdr:sp macro="" textlink="">
          <xdr:nvSpPr>
            <xdr:cNvPr id="12309" name="Drop Down 21" hidden="1">
              <a:extLst>
                <a:ext uri="{63B3BB69-23CF-44E3-9099-C40C66FF867C}">
                  <a14:compatExt spid="_x0000_s12309"/>
                </a:ext>
                <a:ext uri="{FF2B5EF4-FFF2-40B4-BE49-F238E27FC236}">
                  <a16:creationId xmlns:a16="http://schemas.microsoft.com/office/drawing/2014/main" id="{00000000-0008-0000-1000-00001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32</xdr:row>
          <xdr:rowOff>19050</xdr:rowOff>
        </xdr:from>
        <xdr:to>
          <xdr:col>1</xdr:col>
          <xdr:colOff>1924050</xdr:colOff>
          <xdr:row>32</xdr:row>
          <xdr:rowOff>219075</xdr:rowOff>
        </xdr:to>
        <xdr:sp macro="" textlink="">
          <xdr:nvSpPr>
            <xdr:cNvPr id="12310" name="Drop Down 22" hidden="1">
              <a:extLst>
                <a:ext uri="{63B3BB69-23CF-44E3-9099-C40C66FF867C}">
                  <a14:compatExt spid="_x0000_s12310"/>
                </a:ext>
                <a:ext uri="{FF2B5EF4-FFF2-40B4-BE49-F238E27FC236}">
                  <a16:creationId xmlns:a16="http://schemas.microsoft.com/office/drawing/2014/main" id="{00000000-0008-0000-1000-00001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33</xdr:row>
          <xdr:rowOff>19050</xdr:rowOff>
        </xdr:from>
        <xdr:to>
          <xdr:col>1</xdr:col>
          <xdr:colOff>1924050</xdr:colOff>
          <xdr:row>33</xdr:row>
          <xdr:rowOff>219075</xdr:rowOff>
        </xdr:to>
        <xdr:sp macro="" textlink="">
          <xdr:nvSpPr>
            <xdr:cNvPr id="12311" name="Drop Down 23" hidden="1">
              <a:extLst>
                <a:ext uri="{63B3BB69-23CF-44E3-9099-C40C66FF867C}">
                  <a14:compatExt spid="_x0000_s12311"/>
                </a:ext>
                <a:ext uri="{FF2B5EF4-FFF2-40B4-BE49-F238E27FC236}">
                  <a16:creationId xmlns:a16="http://schemas.microsoft.com/office/drawing/2014/main" id="{00000000-0008-0000-1000-00001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34</xdr:row>
          <xdr:rowOff>19050</xdr:rowOff>
        </xdr:from>
        <xdr:to>
          <xdr:col>1</xdr:col>
          <xdr:colOff>1924050</xdr:colOff>
          <xdr:row>34</xdr:row>
          <xdr:rowOff>219075</xdr:rowOff>
        </xdr:to>
        <xdr:sp macro="" textlink="">
          <xdr:nvSpPr>
            <xdr:cNvPr id="12312" name="Drop Down 24" hidden="1">
              <a:extLst>
                <a:ext uri="{63B3BB69-23CF-44E3-9099-C40C66FF867C}">
                  <a14:compatExt spid="_x0000_s12312"/>
                </a:ext>
                <a:ext uri="{FF2B5EF4-FFF2-40B4-BE49-F238E27FC236}">
                  <a16:creationId xmlns:a16="http://schemas.microsoft.com/office/drawing/2014/main" id="{00000000-0008-0000-1000-00001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35</xdr:row>
          <xdr:rowOff>19050</xdr:rowOff>
        </xdr:from>
        <xdr:to>
          <xdr:col>1</xdr:col>
          <xdr:colOff>1924050</xdr:colOff>
          <xdr:row>35</xdr:row>
          <xdr:rowOff>219075</xdr:rowOff>
        </xdr:to>
        <xdr:sp macro="" textlink="">
          <xdr:nvSpPr>
            <xdr:cNvPr id="12313" name="Drop Down 25" hidden="1">
              <a:extLst>
                <a:ext uri="{63B3BB69-23CF-44E3-9099-C40C66FF867C}">
                  <a14:compatExt spid="_x0000_s12313"/>
                </a:ext>
                <a:ext uri="{FF2B5EF4-FFF2-40B4-BE49-F238E27FC236}">
                  <a16:creationId xmlns:a16="http://schemas.microsoft.com/office/drawing/2014/main" id="{00000000-0008-0000-1000-00001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36</xdr:row>
          <xdr:rowOff>19050</xdr:rowOff>
        </xdr:from>
        <xdr:to>
          <xdr:col>1</xdr:col>
          <xdr:colOff>1924050</xdr:colOff>
          <xdr:row>36</xdr:row>
          <xdr:rowOff>219075</xdr:rowOff>
        </xdr:to>
        <xdr:sp macro="" textlink="">
          <xdr:nvSpPr>
            <xdr:cNvPr id="12314" name="Drop Down 26" hidden="1">
              <a:extLst>
                <a:ext uri="{63B3BB69-23CF-44E3-9099-C40C66FF867C}">
                  <a14:compatExt spid="_x0000_s12314"/>
                </a:ext>
                <a:ext uri="{FF2B5EF4-FFF2-40B4-BE49-F238E27FC236}">
                  <a16:creationId xmlns:a16="http://schemas.microsoft.com/office/drawing/2014/main" id="{00000000-0008-0000-1000-00001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37</xdr:row>
          <xdr:rowOff>19050</xdr:rowOff>
        </xdr:from>
        <xdr:to>
          <xdr:col>1</xdr:col>
          <xdr:colOff>1924050</xdr:colOff>
          <xdr:row>37</xdr:row>
          <xdr:rowOff>219075</xdr:rowOff>
        </xdr:to>
        <xdr:sp macro="" textlink="">
          <xdr:nvSpPr>
            <xdr:cNvPr id="12315" name="Drop Down 27" hidden="1">
              <a:extLst>
                <a:ext uri="{63B3BB69-23CF-44E3-9099-C40C66FF867C}">
                  <a14:compatExt spid="_x0000_s12315"/>
                </a:ext>
                <a:ext uri="{FF2B5EF4-FFF2-40B4-BE49-F238E27FC236}">
                  <a16:creationId xmlns:a16="http://schemas.microsoft.com/office/drawing/2014/main" id="{00000000-0008-0000-1000-00001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1</xdr:col>
          <xdr:colOff>1924050</xdr:colOff>
          <xdr:row>38</xdr:row>
          <xdr:rowOff>219075</xdr:rowOff>
        </xdr:to>
        <xdr:sp macro="" textlink="">
          <xdr:nvSpPr>
            <xdr:cNvPr id="12316" name="Drop Down 28" hidden="1">
              <a:extLst>
                <a:ext uri="{63B3BB69-23CF-44E3-9099-C40C66FF867C}">
                  <a14:compatExt spid="_x0000_s12316"/>
                </a:ext>
                <a:ext uri="{FF2B5EF4-FFF2-40B4-BE49-F238E27FC236}">
                  <a16:creationId xmlns:a16="http://schemas.microsoft.com/office/drawing/2014/main" id="{00000000-0008-0000-1000-00001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39</xdr:row>
          <xdr:rowOff>19050</xdr:rowOff>
        </xdr:from>
        <xdr:to>
          <xdr:col>1</xdr:col>
          <xdr:colOff>1924050</xdr:colOff>
          <xdr:row>39</xdr:row>
          <xdr:rowOff>219075</xdr:rowOff>
        </xdr:to>
        <xdr:sp macro="" textlink="">
          <xdr:nvSpPr>
            <xdr:cNvPr id="12317" name="Drop Down 29" hidden="1">
              <a:extLst>
                <a:ext uri="{63B3BB69-23CF-44E3-9099-C40C66FF867C}">
                  <a14:compatExt spid="_x0000_s12317"/>
                </a:ext>
                <a:ext uri="{FF2B5EF4-FFF2-40B4-BE49-F238E27FC236}">
                  <a16:creationId xmlns:a16="http://schemas.microsoft.com/office/drawing/2014/main" id="{00000000-0008-0000-1000-00001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40</xdr:row>
          <xdr:rowOff>19050</xdr:rowOff>
        </xdr:from>
        <xdr:to>
          <xdr:col>1</xdr:col>
          <xdr:colOff>1924050</xdr:colOff>
          <xdr:row>40</xdr:row>
          <xdr:rowOff>219075</xdr:rowOff>
        </xdr:to>
        <xdr:sp macro="" textlink="">
          <xdr:nvSpPr>
            <xdr:cNvPr id="12318" name="Drop Down 30" hidden="1">
              <a:extLst>
                <a:ext uri="{63B3BB69-23CF-44E3-9099-C40C66FF867C}">
                  <a14:compatExt spid="_x0000_s12318"/>
                </a:ext>
                <a:ext uri="{FF2B5EF4-FFF2-40B4-BE49-F238E27FC236}">
                  <a16:creationId xmlns:a16="http://schemas.microsoft.com/office/drawing/2014/main" id="{00000000-0008-0000-1000-00001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41</xdr:row>
          <xdr:rowOff>19050</xdr:rowOff>
        </xdr:from>
        <xdr:to>
          <xdr:col>1</xdr:col>
          <xdr:colOff>1924050</xdr:colOff>
          <xdr:row>41</xdr:row>
          <xdr:rowOff>219075</xdr:rowOff>
        </xdr:to>
        <xdr:sp macro="" textlink="">
          <xdr:nvSpPr>
            <xdr:cNvPr id="12319" name="Drop Down 31" hidden="1">
              <a:extLst>
                <a:ext uri="{63B3BB69-23CF-44E3-9099-C40C66FF867C}">
                  <a14:compatExt spid="_x0000_s12319"/>
                </a:ext>
                <a:ext uri="{FF2B5EF4-FFF2-40B4-BE49-F238E27FC236}">
                  <a16:creationId xmlns:a16="http://schemas.microsoft.com/office/drawing/2014/main" id="{00000000-0008-0000-1000-00001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42</xdr:row>
          <xdr:rowOff>19050</xdr:rowOff>
        </xdr:from>
        <xdr:to>
          <xdr:col>1</xdr:col>
          <xdr:colOff>1924050</xdr:colOff>
          <xdr:row>42</xdr:row>
          <xdr:rowOff>219075</xdr:rowOff>
        </xdr:to>
        <xdr:sp macro="" textlink="">
          <xdr:nvSpPr>
            <xdr:cNvPr id="12320" name="Drop Down 32" hidden="1">
              <a:extLst>
                <a:ext uri="{63B3BB69-23CF-44E3-9099-C40C66FF867C}">
                  <a14:compatExt spid="_x0000_s12320"/>
                </a:ext>
                <a:ext uri="{FF2B5EF4-FFF2-40B4-BE49-F238E27FC236}">
                  <a16:creationId xmlns:a16="http://schemas.microsoft.com/office/drawing/2014/main" id="{00000000-0008-0000-1000-00002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43</xdr:row>
          <xdr:rowOff>19050</xdr:rowOff>
        </xdr:from>
        <xdr:to>
          <xdr:col>1</xdr:col>
          <xdr:colOff>1924050</xdr:colOff>
          <xdr:row>43</xdr:row>
          <xdr:rowOff>219075</xdr:rowOff>
        </xdr:to>
        <xdr:sp macro="" textlink="">
          <xdr:nvSpPr>
            <xdr:cNvPr id="12321" name="Drop Down 33" hidden="1">
              <a:extLst>
                <a:ext uri="{63B3BB69-23CF-44E3-9099-C40C66FF867C}">
                  <a14:compatExt spid="_x0000_s12321"/>
                </a:ext>
                <a:ext uri="{FF2B5EF4-FFF2-40B4-BE49-F238E27FC236}">
                  <a16:creationId xmlns:a16="http://schemas.microsoft.com/office/drawing/2014/main" id="{00000000-0008-0000-1000-00002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44</xdr:row>
          <xdr:rowOff>19050</xdr:rowOff>
        </xdr:from>
        <xdr:to>
          <xdr:col>1</xdr:col>
          <xdr:colOff>1924050</xdr:colOff>
          <xdr:row>44</xdr:row>
          <xdr:rowOff>219075</xdr:rowOff>
        </xdr:to>
        <xdr:sp macro="" textlink="">
          <xdr:nvSpPr>
            <xdr:cNvPr id="12322" name="Drop Down 34" hidden="1">
              <a:extLst>
                <a:ext uri="{63B3BB69-23CF-44E3-9099-C40C66FF867C}">
                  <a14:compatExt spid="_x0000_s12322"/>
                </a:ext>
                <a:ext uri="{FF2B5EF4-FFF2-40B4-BE49-F238E27FC236}">
                  <a16:creationId xmlns:a16="http://schemas.microsoft.com/office/drawing/2014/main" id="{00000000-0008-0000-1000-00002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45</xdr:row>
          <xdr:rowOff>19050</xdr:rowOff>
        </xdr:from>
        <xdr:to>
          <xdr:col>1</xdr:col>
          <xdr:colOff>1924050</xdr:colOff>
          <xdr:row>45</xdr:row>
          <xdr:rowOff>219075</xdr:rowOff>
        </xdr:to>
        <xdr:sp macro="" textlink="">
          <xdr:nvSpPr>
            <xdr:cNvPr id="12323" name="Drop Down 35" hidden="1">
              <a:extLst>
                <a:ext uri="{63B3BB69-23CF-44E3-9099-C40C66FF867C}">
                  <a14:compatExt spid="_x0000_s12323"/>
                </a:ext>
                <a:ext uri="{FF2B5EF4-FFF2-40B4-BE49-F238E27FC236}">
                  <a16:creationId xmlns:a16="http://schemas.microsoft.com/office/drawing/2014/main" id="{00000000-0008-0000-1000-00002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1</xdr:col>
          <xdr:colOff>1924050</xdr:colOff>
          <xdr:row>46</xdr:row>
          <xdr:rowOff>219075</xdr:rowOff>
        </xdr:to>
        <xdr:sp macro="" textlink="">
          <xdr:nvSpPr>
            <xdr:cNvPr id="12324" name="Drop Down 36" hidden="1">
              <a:extLst>
                <a:ext uri="{63B3BB69-23CF-44E3-9099-C40C66FF867C}">
                  <a14:compatExt spid="_x0000_s12324"/>
                </a:ext>
                <a:ext uri="{FF2B5EF4-FFF2-40B4-BE49-F238E27FC236}">
                  <a16:creationId xmlns:a16="http://schemas.microsoft.com/office/drawing/2014/main" id="{00000000-0008-0000-1000-00002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47</xdr:row>
          <xdr:rowOff>19050</xdr:rowOff>
        </xdr:from>
        <xdr:to>
          <xdr:col>1</xdr:col>
          <xdr:colOff>1924050</xdr:colOff>
          <xdr:row>47</xdr:row>
          <xdr:rowOff>219075</xdr:rowOff>
        </xdr:to>
        <xdr:sp macro="" textlink="">
          <xdr:nvSpPr>
            <xdr:cNvPr id="12325" name="Drop Down 37" hidden="1">
              <a:extLst>
                <a:ext uri="{63B3BB69-23CF-44E3-9099-C40C66FF867C}">
                  <a14:compatExt spid="_x0000_s12325"/>
                </a:ext>
                <a:ext uri="{FF2B5EF4-FFF2-40B4-BE49-F238E27FC236}">
                  <a16:creationId xmlns:a16="http://schemas.microsoft.com/office/drawing/2014/main" id="{00000000-0008-0000-1000-00002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1</xdr:col>
          <xdr:colOff>1924050</xdr:colOff>
          <xdr:row>48</xdr:row>
          <xdr:rowOff>219075</xdr:rowOff>
        </xdr:to>
        <xdr:sp macro="" textlink="">
          <xdr:nvSpPr>
            <xdr:cNvPr id="12326" name="Drop Down 38" hidden="1">
              <a:extLst>
                <a:ext uri="{63B3BB69-23CF-44E3-9099-C40C66FF867C}">
                  <a14:compatExt spid="_x0000_s12326"/>
                </a:ext>
                <a:ext uri="{FF2B5EF4-FFF2-40B4-BE49-F238E27FC236}">
                  <a16:creationId xmlns:a16="http://schemas.microsoft.com/office/drawing/2014/main" id="{00000000-0008-0000-1000-00002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49</xdr:row>
          <xdr:rowOff>19050</xdr:rowOff>
        </xdr:from>
        <xdr:to>
          <xdr:col>1</xdr:col>
          <xdr:colOff>1924050</xdr:colOff>
          <xdr:row>49</xdr:row>
          <xdr:rowOff>219075</xdr:rowOff>
        </xdr:to>
        <xdr:sp macro="" textlink="">
          <xdr:nvSpPr>
            <xdr:cNvPr id="12327" name="Drop Down 39" hidden="1">
              <a:extLst>
                <a:ext uri="{63B3BB69-23CF-44E3-9099-C40C66FF867C}">
                  <a14:compatExt spid="_x0000_s12327"/>
                </a:ext>
                <a:ext uri="{FF2B5EF4-FFF2-40B4-BE49-F238E27FC236}">
                  <a16:creationId xmlns:a16="http://schemas.microsoft.com/office/drawing/2014/main" id="{00000000-0008-0000-1000-00002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1</xdr:col>
          <xdr:colOff>1924050</xdr:colOff>
          <xdr:row>50</xdr:row>
          <xdr:rowOff>219075</xdr:rowOff>
        </xdr:to>
        <xdr:sp macro="" textlink="">
          <xdr:nvSpPr>
            <xdr:cNvPr id="12328" name="Drop Down 40" hidden="1">
              <a:extLst>
                <a:ext uri="{63B3BB69-23CF-44E3-9099-C40C66FF867C}">
                  <a14:compatExt spid="_x0000_s12328"/>
                </a:ext>
                <a:ext uri="{FF2B5EF4-FFF2-40B4-BE49-F238E27FC236}">
                  <a16:creationId xmlns:a16="http://schemas.microsoft.com/office/drawing/2014/main" id="{00000000-0008-0000-1000-00002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51</xdr:row>
          <xdr:rowOff>19050</xdr:rowOff>
        </xdr:from>
        <xdr:to>
          <xdr:col>1</xdr:col>
          <xdr:colOff>1924050</xdr:colOff>
          <xdr:row>51</xdr:row>
          <xdr:rowOff>219075</xdr:rowOff>
        </xdr:to>
        <xdr:sp macro="" textlink="">
          <xdr:nvSpPr>
            <xdr:cNvPr id="12329" name="Drop Down 41" hidden="1">
              <a:extLst>
                <a:ext uri="{63B3BB69-23CF-44E3-9099-C40C66FF867C}">
                  <a14:compatExt spid="_x0000_s12329"/>
                </a:ext>
                <a:ext uri="{FF2B5EF4-FFF2-40B4-BE49-F238E27FC236}">
                  <a16:creationId xmlns:a16="http://schemas.microsoft.com/office/drawing/2014/main" id="{00000000-0008-0000-1000-00002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1</xdr:col>
          <xdr:colOff>1924050</xdr:colOff>
          <xdr:row>52</xdr:row>
          <xdr:rowOff>219075</xdr:rowOff>
        </xdr:to>
        <xdr:sp macro="" textlink="">
          <xdr:nvSpPr>
            <xdr:cNvPr id="12330" name="Drop Down 42" hidden="1">
              <a:extLst>
                <a:ext uri="{63B3BB69-23CF-44E3-9099-C40C66FF867C}">
                  <a14:compatExt spid="_x0000_s12330"/>
                </a:ext>
                <a:ext uri="{FF2B5EF4-FFF2-40B4-BE49-F238E27FC236}">
                  <a16:creationId xmlns:a16="http://schemas.microsoft.com/office/drawing/2014/main" id="{00000000-0008-0000-1000-00002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53</xdr:row>
          <xdr:rowOff>19050</xdr:rowOff>
        </xdr:from>
        <xdr:to>
          <xdr:col>1</xdr:col>
          <xdr:colOff>1924050</xdr:colOff>
          <xdr:row>53</xdr:row>
          <xdr:rowOff>219075</xdr:rowOff>
        </xdr:to>
        <xdr:sp macro="" textlink="">
          <xdr:nvSpPr>
            <xdr:cNvPr id="12331" name="Drop Down 43" hidden="1">
              <a:extLst>
                <a:ext uri="{63B3BB69-23CF-44E3-9099-C40C66FF867C}">
                  <a14:compatExt spid="_x0000_s12331"/>
                </a:ext>
                <a:ext uri="{FF2B5EF4-FFF2-40B4-BE49-F238E27FC236}">
                  <a16:creationId xmlns:a16="http://schemas.microsoft.com/office/drawing/2014/main" id="{00000000-0008-0000-1000-00002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1</xdr:col>
          <xdr:colOff>1924050</xdr:colOff>
          <xdr:row>54</xdr:row>
          <xdr:rowOff>219075</xdr:rowOff>
        </xdr:to>
        <xdr:sp macro="" textlink="">
          <xdr:nvSpPr>
            <xdr:cNvPr id="12332" name="Drop Down 44" hidden="1">
              <a:extLst>
                <a:ext uri="{63B3BB69-23CF-44E3-9099-C40C66FF867C}">
                  <a14:compatExt spid="_x0000_s12332"/>
                </a:ext>
                <a:ext uri="{FF2B5EF4-FFF2-40B4-BE49-F238E27FC236}">
                  <a16:creationId xmlns:a16="http://schemas.microsoft.com/office/drawing/2014/main" id="{00000000-0008-0000-1000-00002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55</xdr:row>
          <xdr:rowOff>19050</xdr:rowOff>
        </xdr:from>
        <xdr:to>
          <xdr:col>1</xdr:col>
          <xdr:colOff>1924050</xdr:colOff>
          <xdr:row>55</xdr:row>
          <xdr:rowOff>219075</xdr:rowOff>
        </xdr:to>
        <xdr:sp macro="" textlink="">
          <xdr:nvSpPr>
            <xdr:cNvPr id="12333" name="Drop Down 45" hidden="1">
              <a:extLst>
                <a:ext uri="{63B3BB69-23CF-44E3-9099-C40C66FF867C}">
                  <a14:compatExt spid="_x0000_s12333"/>
                </a:ext>
                <a:ext uri="{FF2B5EF4-FFF2-40B4-BE49-F238E27FC236}">
                  <a16:creationId xmlns:a16="http://schemas.microsoft.com/office/drawing/2014/main" id="{00000000-0008-0000-1000-00002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247650</xdr:colOff>
          <xdr:row>59</xdr:row>
          <xdr:rowOff>0</xdr:rowOff>
        </xdr:from>
        <xdr:to>
          <xdr:col>10</xdr:col>
          <xdr:colOff>476250</xdr:colOff>
          <xdr:row>59</xdr:row>
          <xdr:rowOff>190500</xdr:rowOff>
        </xdr:to>
        <xdr:sp macro="" textlink="">
          <xdr:nvSpPr>
            <xdr:cNvPr id="12334" name="Check Box 46" hidden="1">
              <a:extLst>
                <a:ext uri="{63B3BB69-23CF-44E3-9099-C40C66FF867C}">
                  <a14:compatExt spid="_x0000_s12334"/>
                </a:ext>
                <a:ext uri="{FF2B5EF4-FFF2-40B4-BE49-F238E27FC236}">
                  <a16:creationId xmlns:a16="http://schemas.microsoft.com/office/drawing/2014/main" id="{00000000-0008-0000-1000-00002E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11</xdr:row>
          <xdr:rowOff>9525</xdr:rowOff>
        </xdr:from>
        <xdr:to>
          <xdr:col>1</xdr:col>
          <xdr:colOff>1924050</xdr:colOff>
          <xdr:row>11</xdr:row>
          <xdr:rowOff>209550</xdr:rowOff>
        </xdr:to>
        <xdr:sp macro="" textlink="">
          <xdr:nvSpPr>
            <xdr:cNvPr id="13313" name="Drop Down 1" hidden="1">
              <a:extLst>
                <a:ext uri="{63B3BB69-23CF-44E3-9099-C40C66FF867C}">
                  <a14:compatExt spid="_x0000_s13313"/>
                </a:ext>
                <a:ext uri="{FF2B5EF4-FFF2-40B4-BE49-F238E27FC236}">
                  <a16:creationId xmlns:a16="http://schemas.microsoft.com/office/drawing/2014/main" id="{00000000-0008-0000-1100-00000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12</xdr:row>
          <xdr:rowOff>9525</xdr:rowOff>
        </xdr:from>
        <xdr:to>
          <xdr:col>1</xdr:col>
          <xdr:colOff>1924050</xdr:colOff>
          <xdr:row>12</xdr:row>
          <xdr:rowOff>209550</xdr:rowOff>
        </xdr:to>
        <xdr:sp macro="" textlink="">
          <xdr:nvSpPr>
            <xdr:cNvPr id="13314" name="Drop Down 2" hidden="1">
              <a:extLst>
                <a:ext uri="{63B3BB69-23CF-44E3-9099-C40C66FF867C}">
                  <a14:compatExt spid="_x0000_s13314"/>
                </a:ext>
                <a:ext uri="{FF2B5EF4-FFF2-40B4-BE49-F238E27FC236}">
                  <a16:creationId xmlns:a16="http://schemas.microsoft.com/office/drawing/2014/main" id="{00000000-0008-0000-1100-00000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13</xdr:row>
          <xdr:rowOff>19050</xdr:rowOff>
        </xdr:from>
        <xdr:to>
          <xdr:col>1</xdr:col>
          <xdr:colOff>1924050</xdr:colOff>
          <xdr:row>13</xdr:row>
          <xdr:rowOff>219075</xdr:rowOff>
        </xdr:to>
        <xdr:sp macro="" textlink="">
          <xdr:nvSpPr>
            <xdr:cNvPr id="13315" name="Drop Down 3" hidden="1">
              <a:extLst>
                <a:ext uri="{63B3BB69-23CF-44E3-9099-C40C66FF867C}">
                  <a14:compatExt spid="_x0000_s13315"/>
                </a:ext>
                <a:ext uri="{FF2B5EF4-FFF2-40B4-BE49-F238E27FC236}">
                  <a16:creationId xmlns:a16="http://schemas.microsoft.com/office/drawing/2014/main" id="{00000000-0008-0000-1100-00000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14</xdr:row>
          <xdr:rowOff>19050</xdr:rowOff>
        </xdr:from>
        <xdr:to>
          <xdr:col>1</xdr:col>
          <xdr:colOff>1924050</xdr:colOff>
          <xdr:row>14</xdr:row>
          <xdr:rowOff>219075</xdr:rowOff>
        </xdr:to>
        <xdr:sp macro="" textlink="">
          <xdr:nvSpPr>
            <xdr:cNvPr id="13316" name="Drop Down 4" hidden="1">
              <a:extLst>
                <a:ext uri="{63B3BB69-23CF-44E3-9099-C40C66FF867C}">
                  <a14:compatExt spid="_x0000_s13316"/>
                </a:ext>
                <a:ext uri="{FF2B5EF4-FFF2-40B4-BE49-F238E27FC236}">
                  <a16:creationId xmlns:a16="http://schemas.microsoft.com/office/drawing/2014/main" id="{00000000-0008-0000-1100-00000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15</xdr:row>
          <xdr:rowOff>19050</xdr:rowOff>
        </xdr:from>
        <xdr:to>
          <xdr:col>1</xdr:col>
          <xdr:colOff>1924050</xdr:colOff>
          <xdr:row>15</xdr:row>
          <xdr:rowOff>219075</xdr:rowOff>
        </xdr:to>
        <xdr:sp macro="" textlink="">
          <xdr:nvSpPr>
            <xdr:cNvPr id="13317" name="Drop Down 5" hidden="1">
              <a:extLst>
                <a:ext uri="{63B3BB69-23CF-44E3-9099-C40C66FF867C}">
                  <a14:compatExt spid="_x0000_s13317"/>
                </a:ext>
                <a:ext uri="{FF2B5EF4-FFF2-40B4-BE49-F238E27FC236}">
                  <a16:creationId xmlns:a16="http://schemas.microsoft.com/office/drawing/2014/main" id="{00000000-0008-0000-1100-00000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16</xdr:row>
          <xdr:rowOff>19050</xdr:rowOff>
        </xdr:from>
        <xdr:to>
          <xdr:col>1</xdr:col>
          <xdr:colOff>1924050</xdr:colOff>
          <xdr:row>16</xdr:row>
          <xdr:rowOff>219075</xdr:rowOff>
        </xdr:to>
        <xdr:sp macro="" textlink="">
          <xdr:nvSpPr>
            <xdr:cNvPr id="13318" name="Drop Down 6" hidden="1">
              <a:extLst>
                <a:ext uri="{63B3BB69-23CF-44E3-9099-C40C66FF867C}">
                  <a14:compatExt spid="_x0000_s13318"/>
                </a:ext>
                <a:ext uri="{FF2B5EF4-FFF2-40B4-BE49-F238E27FC236}">
                  <a16:creationId xmlns:a16="http://schemas.microsoft.com/office/drawing/2014/main" id="{00000000-0008-0000-1100-00000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17</xdr:row>
          <xdr:rowOff>19050</xdr:rowOff>
        </xdr:from>
        <xdr:to>
          <xdr:col>1</xdr:col>
          <xdr:colOff>1924050</xdr:colOff>
          <xdr:row>17</xdr:row>
          <xdr:rowOff>219075</xdr:rowOff>
        </xdr:to>
        <xdr:sp macro="" textlink="">
          <xdr:nvSpPr>
            <xdr:cNvPr id="13319" name="Drop Down 7" hidden="1">
              <a:extLst>
                <a:ext uri="{63B3BB69-23CF-44E3-9099-C40C66FF867C}">
                  <a14:compatExt spid="_x0000_s13319"/>
                </a:ext>
                <a:ext uri="{FF2B5EF4-FFF2-40B4-BE49-F238E27FC236}">
                  <a16:creationId xmlns:a16="http://schemas.microsoft.com/office/drawing/2014/main" id="{00000000-0008-0000-1100-00000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18</xdr:row>
          <xdr:rowOff>19050</xdr:rowOff>
        </xdr:from>
        <xdr:to>
          <xdr:col>1</xdr:col>
          <xdr:colOff>1924050</xdr:colOff>
          <xdr:row>18</xdr:row>
          <xdr:rowOff>219075</xdr:rowOff>
        </xdr:to>
        <xdr:sp macro="" textlink="">
          <xdr:nvSpPr>
            <xdr:cNvPr id="13320" name="Drop Down 8" hidden="1">
              <a:extLst>
                <a:ext uri="{63B3BB69-23CF-44E3-9099-C40C66FF867C}">
                  <a14:compatExt spid="_x0000_s13320"/>
                </a:ext>
                <a:ext uri="{FF2B5EF4-FFF2-40B4-BE49-F238E27FC236}">
                  <a16:creationId xmlns:a16="http://schemas.microsoft.com/office/drawing/2014/main" id="{00000000-0008-0000-1100-00000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28575</xdr:rowOff>
        </xdr:from>
        <xdr:to>
          <xdr:col>1</xdr:col>
          <xdr:colOff>1924050</xdr:colOff>
          <xdr:row>20</xdr:row>
          <xdr:rowOff>0</xdr:rowOff>
        </xdr:to>
        <xdr:sp macro="" textlink="">
          <xdr:nvSpPr>
            <xdr:cNvPr id="13321" name="Drop Down 9" hidden="1">
              <a:extLst>
                <a:ext uri="{63B3BB69-23CF-44E3-9099-C40C66FF867C}">
                  <a14:compatExt spid="_x0000_s13321"/>
                </a:ext>
                <a:ext uri="{FF2B5EF4-FFF2-40B4-BE49-F238E27FC236}">
                  <a16:creationId xmlns:a16="http://schemas.microsoft.com/office/drawing/2014/main" id="{00000000-0008-0000-1100-00000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20</xdr:row>
          <xdr:rowOff>19050</xdr:rowOff>
        </xdr:from>
        <xdr:to>
          <xdr:col>1</xdr:col>
          <xdr:colOff>1924050</xdr:colOff>
          <xdr:row>20</xdr:row>
          <xdr:rowOff>219075</xdr:rowOff>
        </xdr:to>
        <xdr:sp macro="" textlink="">
          <xdr:nvSpPr>
            <xdr:cNvPr id="13322" name="Drop Down 10" hidden="1">
              <a:extLst>
                <a:ext uri="{63B3BB69-23CF-44E3-9099-C40C66FF867C}">
                  <a14:compatExt spid="_x0000_s13322"/>
                </a:ext>
                <a:ext uri="{FF2B5EF4-FFF2-40B4-BE49-F238E27FC236}">
                  <a16:creationId xmlns:a16="http://schemas.microsoft.com/office/drawing/2014/main" id="{00000000-0008-0000-1100-00000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28575</xdr:rowOff>
        </xdr:from>
        <xdr:to>
          <xdr:col>1</xdr:col>
          <xdr:colOff>1924050</xdr:colOff>
          <xdr:row>22</xdr:row>
          <xdr:rowOff>0</xdr:rowOff>
        </xdr:to>
        <xdr:sp macro="" textlink="">
          <xdr:nvSpPr>
            <xdr:cNvPr id="13323" name="Drop Down 11" hidden="1">
              <a:extLst>
                <a:ext uri="{63B3BB69-23CF-44E3-9099-C40C66FF867C}">
                  <a14:compatExt spid="_x0000_s13323"/>
                </a:ext>
                <a:ext uri="{FF2B5EF4-FFF2-40B4-BE49-F238E27FC236}">
                  <a16:creationId xmlns:a16="http://schemas.microsoft.com/office/drawing/2014/main" id="{00000000-0008-0000-1100-00000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22</xdr:row>
          <xdr:rowOff>28575</xdr:rowOff>
        </xdr:from>
        <xdr:to>
          <xdr:col>1</xdr:col>
          <xdr:colOff>1924050</xdr:colOff>
          <xdr:row>23</xdr:row>
          <xdr:rowOff>0</xdr:rowOff>
        </xdr:to>
        <xdr:sp macro="" textlink="">
          <xdr:nvSpPr>
            <xdr:cNvPr id="13324" name="Drop Down 12" hidden="1">
              <a:extLst>
                <a:ext uri="{63B3BB69-23CF-44E3-9099-C40C66FF867C}">
                  <a14:compatExt spid="_x0000_s13324"/>
                </a:ext>
                <a:ext uri="{FF2B5EF4-FFF2-40B4-BE49-F238E27FC236}">
                  <a16:creationId xmlns:a16="http://schemas.microsoft.com/office/drawing/2014/main" id="{00000000-0008-0000-1100-00000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1</xdr:col>
          <xdr:colOff>1924050</xdr:colOff>
          <xdr:row>23</xdr:row>
          <xdr:rowOff>219075</xdr:rowOff>
        </xdr:to>
        <xdr:sp macro="" textlink="">
          <xdr:nvSpPr>
            <xdr:cNvPr id="13325" name="Drop Down 13" hidden="1">
              <a:extLst>
                <a:ext uri="{63B3BB69-23CF-44E3-9099-C40C66FF867C}">
                  <a14:compatExt spid="_x0000_s13325"/>
                </a:ext>
                <a:ext uri="{FF2B5EF4-FFF2-40B4-BE49-F238E27FC236}">
                  <a16:creationId xmlns:a16="http://schemas.microsoft.com/office/drawing/2014/main" id="{00000000-0008-0000-1100-00000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24</xdr:row>
          <xdr:rowOff>28575</xdr:rowOff>
        </xdr:from>
        <xdr:to>
          <xdr:col>1</xdr:col>
          <xdr:colOff>1924050</xdr:colOff>
          <xdr:row>25</xdr:row>
          <xdr:rowOff>0</xdr:rowOff>
        </xdr:to>
        <xdr:sp macro="" textlink="">
          <xdr:nvSpPr>
            <xdr:cNvPr id="13326" name="Drop Down 14" hidden="1">
              <a:extLst>
                <a:ext uri="{63B3BB69-23CF-44E3-9099-C40C66FF867C}">
                  <a14:compatExt spid="_x0000_s13326"/>
                </a:ext>
                <a:ext uri="{FF2B5EF4-FFF2-40B4-BE49-F238E27FC236}">
                  <a16:creationId xmlns:a16="http://schemas.microsoft.com/office/drawing/2014/main" id="{00000000-0008-0000-1100-00000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1</xdr:col>
          <xdr:colOff>1924050</xdr:colOff>
          <xdr:row>25</xdr:row>
          <xdr:rowOff>219075</xdr:rowOff>
        </xdr:to>
        <xdr:sp macro="" textlink="">
          <xdr:nvSpPr>
            <xdr:cNvPr id="13327" name="Drop Down 15" hidden="1">
              <a:extLst>
                <a:ext uri="{63B3BB69-23CF-44E3-9099-C40C66FF867C}">
                  <a14:compatExt spid="_x0000_s13327"/>
                </a:ext>
                <a:ext uri="{FF2B5EF4-FFF2-40B4-BE49-F238E27FC236}">
                  <a16:creationId xmlns:a16="http://schemas.microsoft.com/office/drawing/2014/main" id="{00000000-0008-0000-1100-00000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26</xdr:row>
          <xdr:rowOff>19050</xdr:rowOff>
        </xdr:from>
        <xdr:to>
          <xdr:col>1</xdr:col>
          <xdr:colOff>1924050</xdr:colOff>
          <xdr:row>26</xdr:row>
          <xdr:rowOff>219075</xdr:rowOff>
        </xdr:to>
        <xdr:sp macro="" textlink="">
          <xdr:nvSpPr>
            <xdr:cNvPr id="13328" name="Drop Down 16" hidden="1">
              <a:extLst>
                <a:ext uri="{63B3BB69-23CF-44E3-9099-C40C66FF867C}">
                  <a14:compatExt spid="_x0000_s13328"/>
                </a:ext>
                <a:ext uri="{FF2B5EF4-FFF2-40B4-BE49-F238E27FC236}">
                  <a16:creationId xmlns:a16="http://schemas.microsoft.com/office/drawing/2014/main" id="{00000000-0008-0000-1100-00001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1</xdr:col>
          <xdr:colOff>1924050</xdr:colOff>
          <xdr:row>27</xdr:row>
          <xdr:rowOff>219075</xdr:rowOff>
        </xdr:to>
        <xdr:sp macro="" textlink="">
          <xdr:nvSpPr>
            <xdr:cNvPr id="13329" name="Drop Down 17" hidden="1">
              <a:extLst>
                <a:ext uri="{63B3BB69-23CF-44E3-9099-C40C66FF867C}">
                  <a14:compatExt spid="_x0000_s13329"/>
                </a:ext>
                <a:ext uri="{FF2B5EF4-FFF2-40B4-BE49-F238E27FC236}">
                  <a16:creationId xmlns:a16="http://schemas.microsoft.com/office/drawing/2014/main" id="{00000000-0008-0000-1100-00001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28</xdr:row>
          <xdr:rowOff>19050</xdr:rowOff>
        </xdr:from>
        <xdr:to>
          <xdr:col>1</xdr:col>
          <xdr:colOff>1924050</xdr:colOff>
          <xdr:row>28</xdr:row>
          <xdr:rowOff>219075</xdr:rowOff>
        </xdr:to>
        <xdr:sp macro="" textlink="">
          <xdr:nvSpPr>
            <xdr:cNvPr id="13330" name="Drop Down 18" hidden="1">
              <a:extLst>
                <a:ext uri="{63B3BB69-23CF-44E3-9099-C40C66FF867C}">
                  <a14:compatExt spid="_x0000_s13330"/>
                </a:ext>
                <a:ext uri="{FF2B5EF4-FFF2-40B4-BE49-F238E27FC236}">
                  <a16:creationId xmlns:a16="http://schemas.microsoft.com/office/drawing/2014/main" id="{00000000-0008-0000-1100-00001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1</xdr:col>
          <xdr:colOff>1924050</xdr:colOff>
          <xdr:row>29</xdr:row>
          <xdr:rowOff>219075</xdr:rowOff>
        </xdr:to>
        <xdr:sp macro="" textlink="">
          <xdr:nvSpPr>
            <xdr:cNvPr id="13331" name="Drop Down 19" hidden="1">
              <a:extLst>
                <a:ext uri="{63B3BB69-23CF-44E3-9099-C40C66FF867C}">
                  <a14:compatExt spid="_x0000_s13331"/>
                </a:ext>
                <a:ext uri="{FF2B5EF4-FFF2-40B4-BE49-F238E27FC236}">
                  <a16:creationId xmlns:a16="http://schemas.microsoft.com/office/drawing/2014/main" id="{00000000-0008-0000-1100-00001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30</xdr:row>
          <xdr:rowOff>19050</xdr:rowOff>
        </xdr:from>
        <xdr:to>
          <xdr:col>1</xdr:col>
          <xdr:colOff>1924050</xdr:colOff>
          <xdr:row>30</xdr:row>
          <xdr:rowOff>219075</xdr:rowOff>
        </xdr:to>
        <xdr:sp macro="" textlink="">
          <xdr:nvSpPr>
            <xdr:cNvPr id="13332" name="Drop Down 20" hidden="1">
              <a:extLst>
                <a:ext uri="{63B3BB69-23CF-44E3-9099-C40C66FF867C}">
                  <a14:compatExt spid="_x0000_s13332"/>
                </a:ext>
                <a:ext uri="{FF2B5EF4-FFF2-40B4-BE49-F238E27FC236}">
                  <a16:creationId xmlns:a16="http://schemas.microsoft.com/office/drawing/2014/main" id="{00000000-0008-0000-1100-00001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31</xdr:row>
          <xdr:rowOff>19050</xdr:rowOff>
        </xdr:from>
        <xdr:to>
          <xdr:col>1</xdr:col>
          <xdr:colOff>1924050</xdr:colOff>
          <xdr:row>31</xdr:row>
          <xdr:rowOff>219075</xdr:rowOff>
        </xdr:to>
        <xdr:sp macro="" textlink="">
          <xdr:nvSpPr>
            <xdr:cNvPr id="13333" name="Drop Down 21" hidden="1">
              <a:extLst>
                <a:ext uri="{63B3BB69-23CF-44E3-9099-C40C66FF867C}">
                  <a14:compatExt spid="_x0000_s13333"/>
                </a:ext>
                <a:ext uri="{FF2B5EF4-FFF2-40B4-BE49-F238E27FC236}">
                  <a16:creationId xmlns:a16="http://schemas.microsoft.com/office/drawing/2014/main" id="{00000000-0008-0000-1100-00001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32</xdr:row>
          <xdr:rowOff>19050</xdr:rowOff>
        </xdr:from>
        <xdr:to>
          <xdr:col>1</xdr:col>
          <xdr:colOff>1924050</xdr:colOff>
          <xdr:row>32</xdr:row>
          <xdr:rowOff>219075</xdr:rowOff>
        </xdr:to>
        <xdr:sp macro="" textlink="">
          <xdr:nvSpPr>
            <xdr:cNvPr id="13334" name="Drop Down 22" hidden="1">
              <a:extLst>
                <a:ext uri="{63B3BB69-23CF-44E3-9099-C40C66FF867C}">
                  <a14:compatExt spid="_x0000_s13334"/>
                </a:ext>
                <a:ext uri="{FF2B5EF4-FFF2-40B4-BE49-F238E27FC236}">
                  <a16:creationId xmlns:a16="http://schemas.microsoft.com/office/drawing/2014/main" id="{00000000-0008-0000-1100-00001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33</xdr:row>
          <xdr:rowOff>19050</xdr:rowOff>
        </xdr:from>
        <xdr:to>
          <xdr:col>1</xdr:col>
          <xdr:colOff>1924050</xdr:colOff>
          <xdr:row>33</xdr:row>
          <xdr:rowOff>219075</xdr:rowOff>
        </xdr:to>
        <xdr:sp macro="" textlink="">
          <xdr:nvSpPr>
            <xdr:cNvPr id="13335" name="Drop Down 23" hidden="1">
              <a:extLst>
                <a:ext uri="{63B3BB69-23CF-44E3-9099-C40C66FF867C}">
                  <a14:compatExt spid="_x0000_s13335"/>
                </a:ext>
                <a:ext uri="{FF2B5EF4-FFF2-40B4-BE49-F238E27FC236}">
                  <a16:creationId xmlns:a16="http://schemas.microsoft.com/office/drawing/2014/main" id="{00000000-0008-0000-1100-00001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34</xdr:row>
          <xdr:rowOff>19050</xdr:rowOff>
        </xdr:from>
        <xdr:to>
          <xdr:col>1</xdr:col>
          <xdr:colOff>1924050</xdr:colOff>
          <xdr:row>34</xdr:row>
          <xdr:rowOff>219075</xdr:rowOff>
        </xdr:to>
        <xdr:sp macro="" textlink="">
          <xdr:nvSpPr>
            <xdr:cNvPr id="13336" name="Drop Down 24" hidden="1">
              <a:extLst>
                <a:ext uri="{63B3BB69-23CF-44E3-9099-C40C66FF867C}">
                  <a14:compatExt spid="_x0000_s13336"/>
                </a:ext>
                <a:ext uri="{FF2B5EF4-FFF2-40B4-BE49-F238E27FC236}">
                  <a16:creationId xmlns:a16="http://schemas.microsoft.com/office/drawing/2014/main" id="{00000000-0008-0000-1100-00001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35</xdr:row>
          <xdr:rowOff>19050</xdr:rowOff>
        </xdr:from>
        <xdr:to>
          <xdr:col>1</xdr:col>
          <xdr:colOff>1924050</xdr:colOff>
          <xdr:row>35</xdr:row>
          <xdr:rowOff>219075</xdr:rowOff>
        </xdr:to>
        <xdr:sp macro="" textlink="">
          <xdr:nvSpPr>
            <xdr:cNvPr id="13337" name="Drop Down 25" hidden="1">
              <a:extLst>
                <a:ext uri="{63B3BB69-23CF-44E3-9099-C40C66FF867C}">
                  <a14:compatExt spid="_x0000_s13337"/>
                </a:ext>
                <a:ext uri="{FF2B5EF4-FFF2-40B4-BE49-F238E27FC236}">
                  <a16:creationId xmlns:a16="http://schemas.microsoft.com/office/drawing/2014/main" id="{00000000-0008-0000-1100-00001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36</xdr:row>
          <xdr:rowOff>19050</xdr:rowOff>
        </xdr:from>
        <xdr:to>
          <xdr:col>1</xdr:col>
          <xdr:colOff>1924050</xdr:colOff>
          <xdr:row>36</xdr:row>
          <xdr:rowOff>219075</xdr:rowOff>
        </xdr:to>
        <xdr:sp macro="" textlink="">
          <xdr:nvSpPr>
            <xdr:cNvPr id="13338" name="Drop Down 26" hidden="1">
              <a:extLst>
                <a:ext uri="{63B3BB69-23CF-44E3-9099-C40C66FF867C}">
                  <a14:compatExt spid="_x0000_s13338"/>
                </a:ext>
                <a:ext uri="{FF2B5EF4-FFF2-40B4-BE49-F238E27FC236}">
                  <a16:creationId xmlns:a16="http://schemas.microsoft.com/office/drawing/2014/main" id="{00000000-0008-0000-1100-00001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37</xdr:row>
          <xdr:rowOff>19050</xdr:rowOff>
        </xdr:from>
        <xdr:to>
          <xdr:col>1</xdr:col>
          <xdr:colOff>1924050</xdr:colOff>
          <xdr:row>37</xdr:row>
          <xdr:rowOff>219075</xdr:rowOff>
        </xdr:to>
        <xdr:sp macro="" textlink="">
          <xdr:nvSpPr>
            <xdr:cNvPr id="13339" name="Drop Down 27" hidden="1">
              <a:extLst>
                <a:ext uri="{63B3BB69-23CF-44E3-9099-C40C66FF867C}">
                  <a14:compatExt spid="_x0000_s13339"/>
                </a:ext>
                <a:ext uri="{FF2B5EF4-FFF2-40B4-BE49-F238E27FC236}">
                  <a16:creationId xmlns:a16="http://schemas.microsoft.com/office/drawing/2014/main" id="{00000000-0008-0000-1100-00001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1</xdr:col>
          <xdr:colOff>1924050</xdr:colOff>
          <xdr:row>38</xdr:row>
          <xdr:rowOff>219075</xdr:rowOff>
        </xdr:to>
        <xdr:sp macro="" textlink="">
          <xdr:nvSpPr>
            <xdr:cNvPr id="13340" name="Drop Down 28" hidden="1">
              <a:extLst>
                <a:ext uri="{63B3BB69-23CF-44E3-9099-C40C66FF867C}">
                  <a14:compatExt spid="_x0000_s13340"/>
                </a:ext>
                <a:ext uri="{FF2B5EF4-FFF2-40B4-BE49-F238E27FC236}">
                  <a16:creationId xmlns:a16="http://schemas.microsoft.com/office/drawing/2014/main" id="{00000000-0008-0000-1100-00001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39</xdr:row>
          <xdr:rowOff>19050</xdr:rowOff>
        </xdr:from>
        <xdr:to>
          <xdr:col>1</xdr:col>
          <xdr:colOff>1924050</xdr:colOff>
          <xdr:row>39</xdr:row>
          <xdr:rowOff>219075</xdr:rowOff>
        </xdr:to>
        <xdr:sp macro="" textlink="">
          <xdr:nvSpPr>
            <xdr:cNvPr id="13341" name="Drop Down 29" hidden="1">
              <a:extLst>
                <a:ext uri="{63B3BB69-23CF-44E3-9099-C40C66FF867C}">
                  <a14:compatExt spid="_x0000_s13341"/>
                </a:ext>
                <a:ext uri="{FF2B5EF4-FFF2-40B4-BE49-F238E27FC236}">
                  <a16:creationId xmlns:a16="http://schemas.microsoft.com/office/drawing/2014/main" id="{00000000-0008-0000-1100-00001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40</xdr:row>
          <xdr:rowOff>19050</xdr:rowOff>
        </xdr:from>
        <xdr:to>
          <xdr:col>1</xdr:col>
          <xdr:colOff>1924050</xdr:colOff>
          <xdr:row>40</xdr:row>
          <xdr:rowOff>219075</xdr:rowOff>
        </xdr:to>
        <xdr:sp macro="" textlink="">
          <xdr:nvSpPr>
            <xdr:cNvPr id="13342" name="Drop Down 30" hidden="1">
              <a:extLst>
                <a:ext uri="{63B3BB69-23CF-44E3-9099-C40C66FF867C}">
                  <a14:compatExt spid="_x0000_s13342"/>
                </a:ext>
                <a:ext uri="{FF2B5EF4-FFF2-40B4-BE49-F238E27FC236}">
                  <a16:creationId xmlns:a16="http://schemas.microsoft.com/office/drawing/2014/main" id="{00000000-0008-0000-1100-00001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41</xdr:row>
          <xdr:rowOff>19050</xdr:rowOff>
        </xdr:from>
        <xdr:to>
          <xdr:col>1</xdr:col>
          <xdr:colOff>1924050</xdr:colOff>
          <xdr:row>41</xdr:row>
          <xdr:rowOff>219075</xdr:rowOff>
        </xdr:to>
        <xdr:sp macro="" textlink="">
          <xdr:nvSpPr>
            <xdr:cNvPr id="13343" name="Drop Down 31" hidden="1">
              <a:extLst>
                <a:ext uri="{63B3BB69-23CF-44E3-9099-C40C66FF867C}">
                  <a14:compatExt spid="_x0000_s13343"/>
                </a:ext>
                <a:ext uri="{FF2B5EF4-FFF2-40B4-BE49-F238E27FC236}">
                  <a16:creationId xmlns:a16="http://schemas.microsoft.com/office/drawing/2014/main" id="{00000000-0008-0000-1100-00001F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42</xdr:row>
          <xdr:rowOff>19050</xdr:rowOff>
        </xdr:from>
        <xdr:to>
          <xdr:col>1</xdr:col>
          <xdr:colOff>1924050</xdr:colOff>
          <xdr:row>42</xdr:row>
          <xdr:rowOff>219075</xdr:rowOff>
        </xdr:to>
        <xdr:sp macro="" textlink="">
          <xdr:nvSpPr>
            <xdr:cNvPr id="13344" name="Drop Down 32" hidden="1">
              <a:extLst>
                <a:ext uri="{63B3BB69-23CF-44E3-9099-C40C66FF867C}">
                  <a14:compatExt spid="_x0000_s13344"/>
                </a:ext>
                <a:ext uri="{FF2B5EF4-FFF2-40B4-BE49-F238E27FC236}">
                  <a16:creationId xmlns:a16="http://schemas.microsoft.com/office/drawing/2014/main" id="{00000000-0008-0000-1100-000020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43</xdr:row>
          <xdr:rowOff>19050</xdr:rowOff>
        </xdr:from>
        <xdr:to>
          <xdr:col>1</xdr:col>
          <xdr:colOff>1924050</xdr:colOff>
          <xdr:row>43</xdr:row>
          <xdr:rowOff>219075</xdr:rowOff>
        </xdr:to>
        <xdr:sp macro="" textlink="">
          <xdr:nvSpPr>
            <xdr:cNvPr id="13345" name="Drop Down 33" hidden="1">
              <a:extLst>
                <a:ext uri="{63B3BB69-23CF-44E3-9099-C40C66FF867C}">
                  <a14:compatExt spid="_x0000_s13345"/>
                </a:ext>
                <a:ext uri="{FF2B5EF4-FFF2-40B4-BE49-F238E27FC236}">
                  <a16:creationId xmlns:a16="http://schemas.microsoft.com/office/drawing/2014/main" id="{00000000-0008-0000-1100-00002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44</xdr:row>
          <xdr:rowOff>19050</xdr:rowOff>
        </xdr:from>
        <xdr:to>
          <xdr:col>1</xdr:col>
          <xdr:colOff>1924050</xdr:colOff>
          <xdr:row>44</xdr:row>
          <xdr:rowOff>219075</xdr:rowOff>
        </xdr:to>
        <xdr:sp macro="" textlink="">
          <xdr:nvSpPr>
            <xdr:cNvPr id="13346" name="Drop Down 34" hidden="1">
              <a:extLst>
                <a:ext uri="{63B3BB69-23CF-44E3-9099-C40C66FF867C}">
                  <a14:compatExt spid="_x0000_s13346"/>
                </a:ext>
                <a:ext uri="{FF2B5EF4-FFF2-40B4-BE49-F238E27FC236}">
                  <a16:creationId xmlns:a16="http://schemas.microsoft.com/office/drawing/2014/main" id="{00000000-0008-0000-1100-00002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45</xdr:row>
          <xdr:rowOff>19050</xdr:rowOff>
        </xdr:from>
        <xdr:to>
          <xdr:col>1</xdr:col>
          <xdr:colOff>1924050</xdr:colOff>
          <xdr:row>45</xdr:row>
          <xdr:rowOff>219075</xdr:rowOff>
        </xdr:to>
        <xdr:sp macro="" textlink="">
          <xdr:nvSpPr>
            <xdr:cNvPr id="13347" name="Drop Down 35" hidden="1">
              <a:extLst>
                <a:ext uri="{63B3BB69-23CF-44E3-9099-C40C66FF867C}">
                  <a14:compatExt spid="_x0000_s13347"/>
                </a:ext>
                <a:ext uri="{FF2B5EF4-FFF2-40B4-BE49-F238E27FC236}">
                  <a16:creationId xmlns:a16="http://schemas.microsoft.com/office/drawing/2014/main" id="{00000000-0008-0000-1100-000023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1</xdr:col>
          <xdr:colOff>1924050</xdr:colOff>
          <xdr:row>46</xdr:row>
          <xdr:rowOff>219075</xdr:rowOff>
        </xdr:to>
        <xdr:sp macro="" textlink="">
          <xdr:nvSpPr>
            <xdr:cNvPr id="13348" name="Drop Down 36" hidden="1">
              <a:extLst>
                <a:ext uri="{63B3BB69-23CF-44E3-9099-C40C66FF867C}">
                  <a14:compatExt spid="_x0000_s13348"/>
                </a:ext>
                <a:ext uri="{FF2B5EF4-FFF2-40B4-BE49-F238E27FC236}">
                  <a16:creationId xmlns:a16="http://schemas.microsoft.com/office/drawing/2014/main" id="{00000000-0008-0000-1100-000024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47</xdr:row>
          <xdr:rowOff>19050</xdr:rowOff>
        </xdr:from>
        <xdr:to>
          <xdr:col>1</xdr:col>
          <xdr:colOff>1924050</xdr:colOff>
          <xdr:row>47</xdr:row>
          <xdr:rowOff>219075</xdr:rowOff>
        </xdr:to>
        <xdr:sp macro="" textlink="">
          <xdr:nvSpPr>
            <xdr:cNvPr id="13349" name="Drop Down 37" hidden="1">
              <a:extLst>
                <a:ext uri="{63B3BB69-23CF-44E3-9099-C40C66FF867C}">
                  <a14:compatExt spid="_x0000_s13349"/>
                </a:ext>
                <a:ext uri="{FF2B5EF4-FFF2-40B4-BE49-F238E27FC236}">
                  <a16:creationId xmlns:a16="http://schemas.microsoft.com/office/drawing/2014/main" id="{00000000-0008-0000-1100-00002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1</xdr:col>
          <xdr:colOff>1924050</xdr:colOff>
          <xdr:row>48</xdr:row>
          <xdr:rowOff>219075</xdr:rowOff>
        </xdr:to>
        <xdr:sp macro="" textlink="">
          <xdr:nvSpPr>
            <xdr:cNvPr id="13350" name="Drop Down 38" hidden="1">
              <a:extLst>
                <a:ext uri="{63B3BB69-23CF-44E3-9099-C40C66FF867C}">
                  <a14:compatExt spid="_x0000_s13350"/>
                </a:ext>
                <a:ext uri="{FF2B5EF4-FFF2-40B4-BE49-F238E27FC236}">
                  <a16:creationId xmlns:a16="http://schemas.microsoft.com/office/drawing/2014/main" id="{00000000-0008-0000-1100-00002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49</xdr:row>
          <xdr:rowOff>19050</xdr:rowOff>
        </xdr:from>
        <xdr:to>
          <xdr:col>1</xdr:col>
          <xdr:colOff>1924050</xdr:colOff>
          <xdr:row>49</xdr:row>
          <xdr:rowOff>219075</xdr:rowOff>
        </xdr:to>
        <xdr:sp macro="" textlink="">
          <xdr:nvSpPr>
            <xdr:cNvPr id="13351" name="Drop Down 39" hidden="1">
              <a:extLst>
                <a:ext uri="{63B3BB69-23CF-44E3-9099-C40C66FF867C}">
                  <a14:compatExt spid="_x0000_s13351"/>
                </a:ext>
                <a:ext uri="{FF2B5EF4-FFF2-40B4-BE49-F238E27FC236}">
                  <a16:creationId xmlns:a16="http://schemas.microsoft.com/office/drawing/2014/main" id="{00000000-0008-0000-1100-000027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1</xdr:col>
          <xdr:colOff>1924050</xdr:colOff>
          <xdr:row>50</xdr:row>
          <xdr:rowOff>219075</xdr:rowOff>
        </xdr:to>
        <xdr:sp macro="" textlink="">
          <xdr:nvSpPr>
            <xdr:cNvPr id="13352" name="Drop Down 40" hidden="1">
              <a:extLst>
                <a:ext uri="{63B3BB69-23CF-44E3-9099-C40C66FF867C}">
                  <a14:compatExt spid="_x0000_s13352"/>
                </a:ext>
                <a:ext uri="{FF2B5EF4-FFF2-40B4-BE49-F238E27FC236}">
                  <a16:creationId xmlns:a16="http://schemas.microsoft.com/office/drawing/2014/main" id="{00000000-0008-0000-1100-000028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51</xdr:row>
          <xdr:rowOff>19050</xdr:rowOff>
        </xdr:from>
        <xdr:to>
          <xdr:col>1</xdr:col>
          <xdr:colOff>1924050</xdr:colOff>
          <xdr:row>51</xdr:row>
          <xdr:rowOff>219075</xdr:rowOff>
        </xdr:to>
        <xdr:sp macro="" textlink="">
          <xdr:nvSpPr>
            <xdr:cNvPr id="13353" name="Drop Down 41" hidden="1">
              <a:extLst>
                <a:ext uri="{63B3BB69-23CF-44E3-9099-C40C66FF867C}">
                  <a14:compatExt spid="_x0000_s13353"/>
                </a:ext>
                <a:ext uri="{FF2B5EF4-FFF2-40B4-BE49-F238E27FC236}">
                  <a16:creationId xmlns:a16="http://schemas.microsoft.com/office/drawing/2014/main" id="{00000000-0008-0000-1100-000029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1</xdr:col>
          <xdr:colOff>1924050</xdr:colOff>
          <xdr:row>52</xdr:row>
          <xdr:rowOff>219075</xdr:rowOff>
        </xdr:to>
        <xdr:sp macro="" textlink="">
          <xdr:nvSpPr>
            <xdr:cNvPr id="13354" name="Drop Down 42" hidden="1">
              <a:extLst>
                <a:ext uri="{63B3BB69-23CF-44E3-9099-C40C66FF867C}">
                  <a14:compatExt spid="_x0000_s13354"/>
                </a:ext>
                <a:ext uri="{FF2B5EF4-FFF2-40B4-BE49-F238E27FC236}">
                  <a16:creationId xmlns:a16="http://schemas.microsoft.com/office/drawing/2014/main" id="{00000000-0008-0000-1100-00002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53</xdr:row>
          <xdr:rowOff>19050</xdr:rowOff>
        </xdr:from>
        <xdr:to>
          <xdr:col>1</xdr:col>
          <xdr:colOff>1924050</xdr:colOff>
          <xdr:row>53</xdr:row>
          <xdr:rowOff>219075</xdr:rowOff>
        </xdr:to>
        <xdr:sp macro="" textlink="">
          <xdr:nvSpPr>
            <xdr:cNvPr id="13355" name="Drop Down 43" hidden="1">
              <a:extLst>
                <a:ext uri="{63B3BB69-23CF-44E3-9099-C40C66FF867C}">
                  <a14:compatExt spid="_x0000_s13355"/>
                </a:ext>
                <a:ext uri="{FF2B5EF4-FFF2-40B4-BE49-F238E27FC236}">
                  <a16:creationId xmlns:a16="http://schemas.microsoft.com/office/drawing/2014/main" id="{00000000-0008-0000-1100-00002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1</xdr:col>
          <xdr:colOff>1924050</xdr:colOff>
          <xdr:row>54</xdr:row>
          <xdr:rowOff>219075</xdr:rowOff>
        </xdr:to>
        <xdr:sp macro="" textlink="">
          <xdr:nvSpPr>
            <xdr:cNvPr id="13356" name="Drop Down 44" hidden="1">
              <a:extLst>
                <a:ext uri="{63B3BB69-23CF-44E3-9099-C40C66FF867C}">
                  <a14:compatExt spid="_x0000_s13356"/>
                </a:ext>
                <a:ext uri="{FF2B5EF4-FFF2-40B4-BE49-F238E27FC236}">
                  <a16:creationId xmlns:a16="http://schemas.microsoft.com/office/drawing/2014/main" id="{00000000-0008-0000-1100-00002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55</xdr:row>
          <xdr:rowOff>19050</xdr:rowOff>
        </xdr:from>
        <xdr:to>
          <xdr:col>1</xdr:col>
          <xdr:colOff>1924050</xdr:colOff>
          <xdr:row>55</xdr:row>
          <xdr:rowOff>219075</xdr:rowOff>
        </xdr:to>
        <xdr:sp macro="" textlink="">
          <xdr:nvSpPr>
            <xdr:cNvPr id="13357" name="Drop Down 45" hidden="1">
              <a:extLst>
                <a:ext uri="{63B3BB69-23CF-44E3-9099-C40C66FF867C}">
                  <a14:compatExt spid="_x0000_s13357"/>
                </a:ext>
                <a:ext uri="{FF2B5EF4-FFF2-40B4-BE49-F238E27FC236}">
                  <a16:creationId xmlns:a16="http://schemas.microsoft.com/office/drawing/2014/main" id="{00000000-0008-0000-1100-00002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247650</xdr:colOff>
          <xdr:row>59</xdr:row>
          <xdr:rowOff>0</xdr:rowOff>
        </xdr:from>
        <xdr:to>
          <xdr:col>10</xdr:col>
          <xdr:colOff>476250</xdr:colOff>
          <xdr:row>59</xdr:row>
          <xdr:rowOff>190500</xdr:rowOff>
        </xdr:to>
        <xdr:sp macro="" textlink="">
          <xdr:nvSpPr>
            <xdr:cNvPr id="13358" name="Check Box 46" hidden="1">
              <a:extLst>
                <a:ext uri="{63B3BB69-23CF-44E3-9099-C40C66FF867C}">
                  <a14:compatExt spid="_x0000_s13358"/>
                </a:ext>
                <a:ext uri="{FF2B5EF4-FFF2-40B4-BE49-F238E27FC236}">
                  <a16:creationId xmlns:a16="http://schemas.microsoft.com/office/drawing/2014/main" id="{00000000-0008-0000-1100-00002E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11</xdr:row>
          <xdr:rowOff>9525</xdr:rowOff>
        </xdr:from>
        <xdr:to>
          <xdr:col>1</xdr:col>
          <xdr:colOff>1924050</xdr:colOff>
          <xdr:row>11</xdr:row>
          <xdr:rowOff>209550</xdr:rowOff>
        </xdr:to>
        <xdr:sp macro="" textlink="">
          <xdr:nvSpPr>
            <xdr:cNvPr id="14337" name="Drop Down 1" hidden="1">
              <a:extLst>
                <a:ext uri="{63B3BB69-23CF-44E3-9099-C40C66FF867C}">
                  <a14:compatExt spid="_x0000_s14337"/>
                </a:ext>
                <a:ext uri="{FF2B5EF4-FFF2-40B4-BE49-F238E27FC236}">
                  <a16:creationId xmlns:a16="http://schemas.microsoft.com/office/drawing/2014/main" id="{00000000-0008-0000-1200-00000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12</xdr:row>
          <xdr:rowOff>9525</xdr:rowOff>
        </xdr:from>
        <xdr:to>
          <xdr:col>1</xdr:col>
          <xdr:colOff>1924050</xdr:colOff>
          <xdr:row>12</xdr:row>
          <xdr:rowOff>209550</xdr:rowOff>
        </xdr:to>
        <xdr:sp macro="" textlink="">
          <xdr:nvSpPr>
            <xdr:cNvPr id="14338" name="Drop Down 2" hidden="1">
              <a:extLst>
                <a:ext uri="{63B3BB69-23CF-44E3-9099-C40C66FF867C}">
                  <a14:compatExt spid="_x0000_s14338"/>
                </a:ext>
                <a:ext uri="{FF2B5EF4-FFF2-40B4-BE49-F238E27FC236}">
                  <a16:creationId xmlns:a16="http://schemas.microsoft.com/office/drawing/2014/main" id="{00000000-0008-0000-1200-00000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13</xdr:row>
          <xdr:rowOff>19050</xdr:rowOff>
        </xdr:from>
        <xdr:to>
          <xdr:col>1</xdr:col>
          <xdr:colOff>1924050</xdr:colOff>
          <xdr:row>13</xdr:row>
          <xdr:rowOff>219075</xdr:rowOff>
        </xdr:to>
        <xdr:sp macro="" textlink="">
          <xdr:nvSpPr>
            <xdr:cNvPr id="14339" name="Drop Down 3" hidden="1">
              <a:extLst>
                <a:ext uri="{63B3BB69-23CF-44E3-9099-C40C66FF867C}">
                  <a14:compatExt spid="_x0000_s14339"/>
                </a:ext>
                <a:ext uri="{FF2B5EF4-FFF2-40B4-BE49-F238E27FC236}">
                  <a16:creationId xmlns:a16="http://schemas.microsoft.com/office/drawing/2014/main" id="{00000000-0008-0000-1200-00000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14</xdr:row>
          <xdr:rowOff>19050</xdr:rowOff>
        </xdr:from>
        <xdr:to>
          <xdr:col>1</xdr:col>
          <xdr:colOff>1924050</xdr:colOff>
          <xdr:row>14</xdr:row>
          <xdr:rowOff>219075</xdr:rowOff>
        </xdr:to>
        <xdr:sp macro="" textlink="">
          <xdr:nvSpPr>
            <xdr:cNvPr id="14340" name="Drop Down 4" hidden="1">
              <a:extLst>
                <a:ext uri="{63B3BB69-23CF-44E3-9099-C40C66FF867C}">
                  <a14:compatExt spid="_x0000_s14340"/>
                </a:ext>
                <a:ext uri="{FF2B5EF4-FFF2-40B4-BE49-F238E27FC236}">
                  <a16:creationId xmlns:a16="http://schemas.microsoft.com/office/drawing/2014/main" id="{00000000-0008-0000-1200-00000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15</xdr:row>
          <xdr:rowOff>19050</xdr:rowOff>
        </xdr:from>
        <xdr:to>
          <xdr:col>1</xdr:col>
          <xdr:colOff>1924050</xdr:colOff>
          <xdr:row>15</xdr:row>
          <xdr:rowOff>219075</xdr:rowOff>
        </xdr:to>
        <xdr:sp macro="" textlink="">
          <xdr:nvSpPr>
            <xdr:cNvPr id="14341" name="Drop Down 5" hidden="1">
              <a:extLst>
                <a:ext uri="{63B3BB69-23CF-44E3-9099-C40C66FF867C}">
                  <a14:compatExt spid="_x0000_s14341"/>
                </a:ext>
                <a:ext uri="{FF2B5EF4-FFF2-40B4-BE49-F238E27FC236}">
                  <a16:creationId xmlns:a16="http://schemas.microsoft.com/office/drawing/2014/main" id="{00000000-0008-0000-1200-000005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16</xdr:row>
          <xdr:rowOff>19050</xdr:rowOff>
        </xdr:from>
        <xdr:to>
          <xdr:col>1</xdr:col>
          <xdr:colOff>1924050</xdr:colOff>
          <xdr:row>16</xdr:row>
          <xdr:rowOff>219075</xdr:rowOff>
        </xdr:to>
        <xdr:sp macro="" textlink="">
          <xdr:nvSpPr>
            <xdr:cNvPr id="14342" name="Drop Down 6" hidden="1">
              <a:extLst>
                <a:ext uri="{63B3BB69-23CF-44E3-9099-C40C66FF867C}">
                  <a14:compatExt spid="_x0000_s14342"/>
                </a:ext>
                <a:ext uri="{FF2B5EF4-FFF2-40B4-BE49-F238E27FC236}">
                  <a16:creationId xmlns:a16="http://schemas.microsoft.com/office/drawing/2014/main" id="{00000000-0008-0000-1200-000006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17</xdr:row>
          <xdr:rowOff>19050</xdr:rowOff>
        </xdr:from>
        <xdr:to>
          <xdr:col>1</xdr:col>
          <xdr:colOff>1924050</xdr:colOff>
          <xdr:row>17</xdr:row>
          <xdr:rowOff>219075</xdr:rowOff>
        </xdr:to>
        <xdr:sp macro="" textlink="">
          <xdr:nvSpPr>
            <xdr:cNvPr id="14343" name="Drop Down 7" hidden="1">
              <a:extLst>
                <a:ext uri="{63B3BB69-23CF-44E3-9099-C40C66FF867C}">
                  <a14:compatExt spid="_x0000_s14343"/>
                </a:ext>
                <a:ext uri="{FF2B5EF4-FFF2-40B4-BE49-F238E27FC236}">
                  <a16:creationId xmlns:a16="http://schemas.microsoft.com/office/drawing/2014/main" id="{00000000-0008-0000-1200-000007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18</xdr:row>
          <xdr:rowOff>19050</xdr:rowOff>
        </xdr:from>
        <xdr:to>
          <xdr:col>1</xdr:col>
          <xdr:colOff>1924050</xdr:colOff>
          <xdr:row>18</xdr:row>
          <xdr:rowOff>219075</xdr:rowOff>
        </xdr:to>
        <xdr:sp macro="" textlink="">
          <xdr:nvSpPr>
            <xdr:cNvPr id="14344" name="Drop Down 8" hidden="1">
              <a:extLst>
                <a:ext uri="{63B3BB69-23CF-44E3-9099-C40C66FF867C}">
                  <a14:compatExt spid="_x0000_s14344"/>
                </a:ext>
                <a:ext uri="{FF2B5EF4-FFF2-40B4-BE49-F238E27FC236}">
                  <a16:creationId xmlns:a16="http://schemas.microsoft.com/office/drawing/2014/main" id="{00000000-0008-0000-1200-000008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28575</xdr:rowOff>
        </xdr:from>
        <xdr:to>
          <xdr:col>1</xdr:col>
          <xdr:colOff>1924050</xdr:colOff>
          <xdr:row>20</xdr:row>
          <xdr:rowOff>0</xdr:rowOff>
        </xdr:to>
        <xdr:sp macro="" textlink="">
          <xdr:nvSpPr>
            <xdr:cNvPr id="14345" name="Drop Down 9" hidden="1">
              <a:extLst>
                <a:ext uri="{63B3BB69-23CF-44E3-9099-C40C66FF867C}">
                  <a14:compatExt spid="_x0000_s14345"/>
                </a:ext>
                <a:ext uri="{FF2B5EF4-FFF2-40B4-BE49-F238E27FC236}">
                  <a16:creationId xmlns:a16="http://schemas.microsoft.com/office/drawing/2014/main" id="{00000000-0008-0000-1200-000009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20</xdr:row>
          <xdr:rowOff>19050</xdr:rowOff>
        </xdr:from>
        <xdr:to>
          <xdr:col>1</xdr:col>
          <xdr:colOff>1924050</xdr:colOff>
          <xdr:row>20</xdr:row>
          <xdr:rowOff>219075</xdr:rowOff>
        </xdr:to>
        <xdr:sp macro="" textlink="">
          <xdr:nvSpPr>
            <xdr:cNvPr id="14346" name="Drop Down 10" hidden="1">
              <a:extLst>
                <a:ext uri="{63B3BB69-23CF-44E3-9099-C40C66FF867C}">
                  <a14:compatExt spid="_x0000_s14346"/>
                </a:ext>
                <a:ext uri="{FF2B5EF4-FFF2-40B4-BE49-F238E27FC236}">
                  <a16:creationId xmlns:a16="http://schemas.microsoft.com/office/drawing/2014/main" id="{00000000-0008-0000-1200-00000A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28575</xdr:rowOff>
        </xdr:from>
        <xdr:to>
          <xdr:col>1</xdr:col>
          <xdr:colOff>1924050</xdr:colOff>
          <xdr:row>22</xdr:row>
          <xdr:rowOff>0</xdr:rowOff>
        </xdr:to>
        <xdr:sp macro="" textlink="">
          <xdr:nvSpPr>
            <xdr:cNvPr id="14347" name="Drop Down 11" hidden="1">
              <a:extLst>
                <a:ext uri="{63B3BB69-23CF-44E3-9099-C40C66FF867C}">
                  <a14:compatExt spid="_x0000_s14347"/>
                </a:ext>
                <a:ext uri="{FF2B5EF4-FFF2-40B4-BE49-F238E27FC236}">
                  <a16:creationId xmlns:a16="http://schemas.microsoft.com/office/drawing/2014/main" id="{00000000-0008-0000-1200-00000B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22</xdr:row>
          <xdr:rowOff>28575</xdr:rowOff>
        </xdr:from>
        <xdr:to>
          <xdr:col>1</xdr:col>
          <xdr:colOff>1924050</xdr:colOff>
          <xdr:row>23</xdr:row>
          <xdr:rowOff>0</xdr:rowOff>
        </xdr:to>
        <xdr:sp macro="" textlink="">
          <xdr:nvSpPr>
            <xdr:cNvPr id="14348" name="Drop Down 12" hidden="1">
              <a:extLst>
                <a:ext uri="{63B3BB69-23CF-44E3-9099-C40C66FF867C}">
                  <a14:compatExt spid="_x0000_s14348"/>
                </a:ext>
                <a:ext uri="{FF2B5EF4-FFF2-40B4-BE49-F238E27FC236}">
                  <a16:creationId xmlns:a16="http://schemas.microsoft.com/office/drawing/2014/main" id="{00000000-0008-0000-1200-00000C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1</xdr:col>
          <xdr:colOff>1924050</xdr:colOff>
          <xdr:row>23</xdr:row>
          <xdr:rowOff>219075</xdr:rowOff>
        </xdr:to>
        <xdr:sp macro="" textlink="">
          <xdr:nvSpPr>
            <xdr:cNvPr id="14349" name="Drop Down 13" hidden="1">
              <a:extLst>
                <a:ext uri="{63B3BB69-23CF-44E3-9099-C40C66FF867C}">
                  <a14:compatExt spid="_x0000_s14349"/>
                </a:ext>
                <a:ext uri="{FF2B5EF4-FFF2-40B4-BE49-F238E27FC236}">
                  <a16:creationId xmlns:a16="http://schemas.microsoft.com/office/drawing/2014/main" id="{00000000-0008-0000-1200-00000D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24</xdr:row>
          <xdr:rowOff>28575</xdr:rowOff>
        </xdr:from>
        <xdr:to>
          <xdr:col>1</xdr:col>
          <xdr:colOff>1924050</xdr:colOff>
          <xdr:row>25</xdr:row>
          <xdr:rowOff>0</xdr:rowOff>
        </xdr:to>
        <xdr:sp macro="" textlink="">
          <xdr:nvSpPr>
            <xdr:cNvPr id="14350" name="Drop Down 14" hidden="1">
              <a:extLst>
                <a:ext uri="{63B3BB69-23CF-44E3-9099-C40C66FF867C}">
                  <a14:compatExt spid="_x0000_s14350"/>
                </a:ext>
                <a:ext uri="{FF2B5EF4-FFF2-40B4-BE49-F238E27FC236}">
                  <a16:creationId xmlns:a16="http://schemas.microsoft.com/office/drawing/2014/main" id="{00000000-0008-0000-1200-00000E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1</xdr:col>
          <xdr:colOff>1924050</xdr:colOff>
          <xdr:row>25</xdr:row>
          <xdr:rowOff>219075</xdr:rowOff>
        </xdr:to>
        <xdr:sp macro="" textlink="">
          <xdr:nvSpPr>
            <xdr:cNvPr id="14351" name="Drop Down 15" hidden="1">
              <a:extLst>
                <a:ext uri="{63B3BB69-23CF-44E3-9099-C40C66FF867C}">
                  <a14:compatExt spid="_x0000_s14351"/>
                </a:ext>
                <a:ext uri="{FF2B5EF4-FFF2-40B4-BE49-F238E27FC236}">
                  <a16:creationId xmlns:a16="http://schemas.microsoft.com/office/drawing/2014/main" id="{00000000-0008-0000-1200-00000F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26</xdr:row>
          <xdr:rowOff>19050</xdr:rowOff>
        </xdr:from>
        <xdr:to>
          <xdr:col>1</xdr:col>
          <xdr:colOff>1924050</xdr:colOff>
          <xdr:row>26</xdr:row>
          <xdr:rowOff>219075</xdr:rowOff>
        </xdr:to>
        <xdr:sp macro="" textlink="">
          <xdr:nvSpPr>
            <xdr:cNvPr id="14352" name="Drop Down 16" hidden="1">
              <a:extLst>
                <a:ext uri="{63B3BB69-23CF-44E3-9099-C40C66FF867C}">
                  <a14:compatExt spid="_x0000_s14352"/>
                </a:ext>
                <a:ext uri="{FF2B5EF4-FFF2-40B4-BE49-F238E27FC236}">
                  <a16:creationId xmlns:a16="http://schemas.microsoft.com/office/drawing/2014/main" id="{00000000-0008-0000-1200-000010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1</xdr:col>
          <xdr:colOff>1924050</xdr:colOff>
          <xdr:row>27</xdr:row>
          <xdr:rowOff>219075</xdr:rowOff>
        </xdr:to>
        <xdr:sp macro="" textlink="">
          <xdr:nvSpPr>
            <xdr:cNvPr id="14353" name="Drop Down 17" hidden="1">
              <a:extLst>
                <a:ext uri="{63B3BB69-23CF-44E3-9099-C40C66FF867C}">
                  <a14:compatExt spid="_x0000_s14353"/>
                </a:ext>
                <a:ext uri="{FF2B5EF4-FFF2-40B4-BE49-F238E27FC236}">
                  <a16:creationId xmlns:a16="http://schemas.microsoft.com/office/drawing/2014/main" id="{00000000-0008-0000-1200-00001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28</xdr:row>
          <xdr:rowOff>19050</xdr:rowOff>
        </xdr:from>
        <xdr:to>
          <xdr:col>1</xdr:col>
          <xdr:colOff>1924050</xdr:colOff>
          <xdr:row>28</xdr:row>
          <xdr:rowOff>219075</xdr:rowOff>
        </xdr:to>
        <xdr:sp macro="" textlink="">
          <xdr:nvSpPr>
            <xdr:cNvPr id="14354" name="Drop Down 18" hidden="1">
              <a:extLst>
                <a:ext uri="{63B3BB69-23CF-44E3-9099-C40C66FF867C}">
                  <a14:compatExt spid="_x0000_s14354"/>
                </a:ext>
                <a:ext uri="{FF2B5EF4-FFF2-40B4-BE49-F238E27FC236}">
                  <a16:creationId xmlns:a16="http://schemas.microsoft.com/office/drawing/2014/main" id="{00000000-0008-0000-1200-00001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1</xdr:col>
          <xdr:colOff>1924050</xdr:colOff>
          <xdr:row>29</xdr:row>
          <xdr:rowOff>219075</xdr:rowOff>
        </xdr:to>
        <xdr:sp macro="" textlink="">
          <xdr:nvSpPr>
            <xdr:cNvPr id="14355" name="Drop Down 19" hidden="1">
              <a:extLst>
                <a:ext uri="{63B3BB69-23CF-44E3-9099-C40C66FF867C}">
                  <a14:compatExt spid="_x0000_s14355"/>
                </a:ext>
                <a:ext uri="{FF2B5EF4-FFF2-40B4-BE49-F238E27FC236}">
                  <a16:creationId xmlns:a16="http://schemas.microsoft.com/office/drawing/2014/main" id="{00000000-0008-0000-1200-00001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30</xdr:row>
          <xdr:rowOff>19050</xdr:rowOff>
        </xdr:from>
        <xdr:to>
          <xdr:col>1</xdr:col>
          <xdr:colOff>1924050</xdr:colOff>
          <xdr:row>30</xdr:row>
          <xdr:rowOff>219075</xdr:rowOff>
        </xdr:to>
        <xdr:sp macro="" textlink="">
          <xdr:nvSpPr>
            <xdr:cNvPr id="14356" name="Drop Down 20" hidden="1">
              <a:extLst>
                <a:ext uri="{63B3BB69-23CF-44E3-9099-C40C66FF867C}">
                  <a14:compatExt spid="_x0000_s14356"/>
                </a:ext>
                <a:ext uri="{FF2B5EF4-FFF2-40B4-BE49-F238E27FC236}">
                  <a16:creationId xmlns:a16="http://schemas.microsoft.com/office/drawing/2014/main" id="{00000000-0008-0000-1200-00001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31</xdr:row>
          <xdr:rowOff>19050</xdr:rowOff>
        </xdr:from>
        <xdr:to>
          <xdr:col>1</xdr:col>
          <xdr:colOff>1924050</xdr:colOff>
          <xdr:row>31</xdr:row>
          <xdr:rowOff>219075</xdr:rowOff>
        </xdr:to>
        <xdr:sp macro="" textlink="">
          <xdr:nvSpPr>
            <xdr:cNvPr id="14357" name="Drop Down 21" hidden="1">
              <a:extLst>
                <a:ext uri="{63B3BB69-23CF-44E3-9099-C40C66FF867C}">
                  <a14:compatExt spid="_x0000_s14357"/>
                </a:ext>
                <a:ext uri="{FF2B5EF4-FFF2-40B4-BE49-F238E27FC236}">
                  <a16:creationId xmlns:a16="http://schemas.microsoft.com/office/drawing/2014/main" id="{00000000-0008-0000-1200-000015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32</xdr:row>
          <xdr:rowOff>19050</xdr:rowOff>
        </xdr:from>
        <xdr:to>
          <xdr:col>1</xdr:col>
          <xdr:colOff>1924050</xdr:colOff>
          <xdr:row>32</xdr:row>
          <xdr:rowOff>219075</xdr:rowOff>
        </xdr:to>
        <xdr:sp macro="" textlink="">
          <xdr:nvSpPr>
            <xdr:cNvPr id="14358" name="Drop Down 22" hidden="1">
              <a:extLst>
                <a:ext uri="{63B3BB69-23CF-44E3-9099-C40C66FF867C}">
                  <a14:compatExt spid="_x0000_s14358"/>
                </a:ext>
                <a:ext uri="{FF2B5EF4-FFF2-40B4-BE49-F238E27FC236}">
                  <a16:creationId xmlns:a16="http://schemas.microsoft.com/office/drawing/2014/main" id="{00000000-0008-0000-1200-000016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33</xdr:row>
          <xdr:rowOff>19050</xdr:rowOff>
        </xdr:from>
        <xdr:to>
          <xdr:col>1</xdr:col>
          <xdr:colOff>1924050</xdr:colOff>
          <xdr:row>33</xdr:row>
          <xdr:rowOff>219075</xdr:rowOff>
        </xdr:to>
        <xdr:sp macro="" textlink="">
          <xdr:nvSpPr>
            <xdr:cNvPr id="14359" name="Drop Down 23" hidden="1">
              <a:extLst>
                <a:ext uri="{63B3BB69-23CF-44E3-9099-C40C66FF867C}">
                  <a14:compatExt spid="_x0000_s14359"/>
                </a:ext>
                <a:ext uri="{FF2B5EF4-FFF2-40B4-BE49-F238E27FC236}">
                  <a16:creationId xmlns:a16="http://schemas.microsoft.com/office/drawing/2014/main" id="{00000000-0008-0000-1200-000017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34</xdr:row>
          <xdr:rowOff>19050</xdr:rowOff>
        </xdr:from>
        <xdr:to>
          <xdr:col>1</xdr:col>
          <xdr:colOff>1924050</xdr:colOff>
          <xdr:row>34</xdr:row>
          <xdr:rowOff>219075</xdr:rowOff>
        </xdr:to>
        <xdr:sp macro="" textlink="">
          <xdr:nvSpPr>
            <xdr:cNvPr id="14360" name="Drop Down 24" hidden="1">
              <a:extLst>
                <a:ext uri="{63B3BB69-23CF-44E3-9099-C40C66FF867C}">
                  <a14:compatExt spid="_x0000_s14360"/>
                </a:ext>
                <a:ext uri="{FF2B5EF4-FFF2-40B4-BE49-F238E27FC236}">
                  <a16:creationId xmlns:a16="http://schemas.microsoft.com/office/drawing/2014/main" id="{00000000-0008-0000-1200-000018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35</xdr:row>
          <xdr:rowOff>19050</xdr:rowOff>
        </xdr:from>
        <xdr:to>
          <xdr:col>1</xdr:col>
          <xdr:colOff>1924050</xdr:colOff>
          <xdr:row>35</xdr:row>
          <xdr:rowOff>219075</xdr:rowOff>
        </xdr:to>
        <xdr:sp macro="" textlink="">
          <xdr:nvSpPr>
            <xdr:cNvPr id="14361" name="Drop Down 25" hidden="1">
              <a:extLst>
                <a:ext uri="{63B3BB69-23CF-44E3-9099-C40C66FF867C}">
                  <a14:compatExt spid="_x0000_s14361"/>
                </a:ext>
                <a:ext uri="{FF2B5EF4-FFF2-40B4-BE49-F238E27FC236}">
                  <a16:creationId xmlns:a16="http://schemas.microsoft.com/office/drawing/2014/main" id="{00000000-0008-0000-1200-000019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36</xdr:row>
          <xdr:rowOff>19050</xdr:rowOff>
        </xdr:from>
        <xdr:to>
          <xdr:col>1</xdr:col>
          <xdr:colOff>1924050</xdr:colOff>
          <xdr:row>36</xdr:row>
          <xdr:rowOff>219075</xdr:rowOff>
        </xdr:to>
        <xdr:sp macro="" textlink="">
          <xdr:nvSpPr>
            <xdr:cNvPr id="14362" name="Drop Down 26" hidden="1">
              <a:extLst>
                <a:ext uri="{63B3BB69-23CF-44E3-9099-C40C66FF867C}">
                  <a14:compatExt spid="_x0000_s14362"/>
                </a:ext>
                <a:ext uri="{FF2B5EF4-FFF2-40B4-BE49-F238E27FC236}">
                  <a16:creationId xmlns:a16="http://schemas.microsoft.com/office/drawing/2014/main" id="{00000000-0008-0000-1200-00001A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37</xdr:row>
          <xdr:rowOff>19050</xdr:rowOff>
        </xdr:from>
        <xdr:to>
          <xdr:col>1</xdr:col>
          <xdr:colOff>1924050</xdr:colOff>
          <xdr:row>37</xdr:row>
          <xdr:rowOff>219075</xdr:rowOff>
        </xdr:to>
        <xdr:sp macro="" textlink="">
          <xdr:nvSpPr>
            <xdr:cNvPr id="14363" name="Drop Down 27" hidden="1">
              <a:extLst>
                <a:ext uri="{63B3BB69-23CF-44E3-9099-C40C66FF867C}">
                  <a14:compatExt spid="_x0000_s14363"/>
                </a:ext>
                <a:ext uri="{FF2B5EF4-FFF2-40B4-BE49-F238E27FC236}">
                  <a16:creationId xmlns:a16="http://schemas.microsoft.com/office/drawing/2014/main" id="{00000000-0008-0000-1200-00001B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1</xdr:col>
          <xdr:colOff>1924050</xdr:colOff>
          <xdr:row>38</xdr:row>
          <xdr:rowOff>219075</xdr:rowOff>
        </xdr:to>
        <xdr:sp macro="" textlink="">
          <xdr:nvSpPr>
            <xdr:cNvPr id="14364" name="Drop Down 28" hidden="1">
              <a:extLst>
                <a:ext uri="{63B3BB69-23CF-44E3-9099-C40C66FF867C}">
                  <a14:compatExt spid="_x0000_s14364"/>
                </a:ext>
                <a:ext uri="{FF2B5EF4-FFF2-40B4-BE49-F238E27FC236}">
                  <a16:creationId xmlns:a16="http://schemas.microsoft.com/office/drawing/2014/main" id="{00000000-0008-0000-1200-00001C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39</xdr:row>
          <xdr:rowOff>19050</xdr:rowOff>
        </xdr:from>
        <xdr:to>
          <xdr:col>1</xdr:col>
          <xdr:colOff>1924050</xdr:colOff>
          <xdr:row>39</xdr:row>
          <xdr:rowOff>219075</xdr:rowOff>
        </xdr:to>
        <xdr:sp macro="" textlink="">
          <xdr:nvSpPr>
            <xdr:cNvPr id="14365" name="Drop Down 29" hidden="1">
              <a:extLst>
                <a:ext uri="{63B3BB69-23CF-44E3-9099-C40C66FF867C}">
                  <a14:compatExt spid="_x0000_s14365"/>
                </a:ext>
                <a:ext uri="{FF2B5EF4-FFF2-40B4-BE49-F238E27FC236}">
                  <a16:creationId xmlns:a16="http://schemas.microsoft.com/office/drawing/2014/main" id="{00000000-0008-0000-1200-00001D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40</xdr:row>
          <xdr:rowOff>19050</xdr:rowOff>
        </xdr:from>
        <xdr:to>
          <xdr:col>1</xdr:col>
          <xdr:colOff>1924050</xdr:colOff>
          <xdr:row>40</xdr:row>
          <xdr:rowOff>219075</xdr:rowOff>
        </xdr:to>
        <xdr:sp macro="" textlink="">
          <xdr:nvSpPr>
            <xdr:cNvPr id="14366" name="Drop Down 30" hidden="1">
              <a:extLst>
                <a:ext uri="{63B3BB69-23CF-44E3-9099-C40C66FF867C}">
                  <a14:compatExt spid="_x0000_s14366"/>
                </a:ext>
                <a:ext uri="{FF2B5EF4-FFF2-40B4-BE49-F238E27FC236}">
                  <a16:creationId xmlns:a16="http://schemas.microsoft.com/office/drawing/2014/main" id="{00000000-0008-0000-1200-00001E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41</xdr:row>
          <xdr:rowOff>19050</xdr:rowOff>
        </xdr:from>
        <xdr:to>
          <xdr:col>1</xdr:col>
          <xdr:colOff>1924050</xdr:colOff>
          <xdr:row>41</xdr:row>
          <xdr:rowOff>219075</xdr:rowOff>
        </xdr:to>
        <xdr:sp macro="" textlink="">
          <xdr:nvSpPr>
            <xdr:cNvPr id="14367" name="Drop Down 31" hidden="1">
              <a:extLst>
                <a:ext uri="{63B3BB69-23CF-44E3-9099-C40C66FF867C}">
                  <a14:compatExt spid="_x0000_s14367"/>
                </a:ext>
                <a:ext uri="{FF2B5EF4-FFF2-40B4-BE49-F238E27FC236}">
                  <a16:creationId xmlns:a16="http://schemas.microsoft.com/office/drawing/2014/main" id="{00000000-0008-0000-1200-00001F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42</xdr:row>
          <xdr:rowOff>19050</xdr:rowOff>
        </xdr:from>
        <xdr:to>
          <xdr:col>1</xdr:col>
          <xdr:colOff>1924050</xdr:colOff>
          <xdr:row>42</xdr:row>
          <xdr:rowOff>219075</xdr:rowOff>
        </xdr:to>
        <xdr:sp macro="" textlink="">
          <xdr:nvSpPr>
            <xdr:cNvPr id="14368" name="Drop Down 32" hidden="1">
              <a:extLst>
                <a:ext uri="{63B3BB69-23CF-44E3-9099-C40C66FF867C}">
                  <a14:compatExt spid="_x0000_s14368"/>
                </a:ext>
                <a:ext uri="{FF2B5EF4-FFF2-40B4-BE49-F238E27FC236}">
                  <a16:creationId xmlns:a16="http://schemas.microsoft.com/office/drawing/2014/main" id="{00000000-0008-0000-1200-000020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43</xdr:row>
          <xdr:rowOff>19050</xdr:rowOff>
        </xdr:from>
        <xdr:to>
          <xdr:col>1</xdr:col>
          <xdr:colOff>1924050</xdr:colOff>
          <xdr:row>43</xdr:row>
          <xdr:rowOff>219075</xdr:rowOff>
        </xdr:to>
        <xdr:sp macro="" textlink="">
          <xdr:nvSpPr>
            <xdr:cNvPr id="14369" name="Drop Down 33" hidden="1">
              <a:extLst>
                <a:ext uri="{63B3BB69-23CF-44E3-9099-C40C66FF867C}">
                  <a14:compatExt spid="_x0000_s14369"/>
                </a:ext>
                <a:ext uri="{FF2B5EF4-FFF2-40B4-BE49-F238E27FC236}">
                  <a16:creationId xmlns:a16="http://schemas.microsoft.com/office/drawing/2014/main" id="{00000000-0008-0000-1200-00002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44</xdr:row>
          <xdr:rowOff>19050</xdr:rowOff>
        </xdr:from>
        <xdr:to>
          <xdr:col>1</xdr:col>
          <xdr:colOff>1924050</xdr:colOff>
          <xdr:row>44</xdr:row>
          <xdr:rowOff>219075</xdr:rowOff>
        </xdr:to>
        <xdr:sp macro="" textlink="">
          <xdr:nvSpPr>
            <xdr:cNvPr id="14370" name="Drop Down 34" hidden="1">
              <a:extLst>
                <a:ext uri="{63B3BB69-23CF-44E3-9099-C40C66FF867C}">
                  <a14:compatExt spid="_x0000_s14370"/>
                </a:ext>
                <a:ext uri="{FF2B5EF4-FFF2-40B4-BE49-F238E27FC236}">
                  <a16:creationId xmlns:a16="http://schemas.microsoft.com/office/drawing/2014/main" id="{00000000-0008-0000-1200-00002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45</xdr:row>
          <xdr:rowOff>19050</xdr:rowOff>
        </xdr:from>
        <xdr:to>
          <xdr:col>1</xdr:col>
          <xdr:colOff>1924050</xdr:colOff>
          <xdr:row>45</xdr:row>
          <xdr:rowOff>219075</xdr:rowOff>
        </xdr:to>
        <xdr:sp macro="" textlink="">
          <xdr:nvSpPr>
            <xdr:cNvPr id="14371" name="Drop Down 35" hidden="1">
              <a:extLst>
                <a:ext uri="{63B3BB69-23CF-44E3-9099-C40C66FF867C}">
                  <a14:compatExt spid="_x0000_s14371"/>
                </a:ext>
                <a:ext uri="{FF2B5EF4-FFF2-40B4-BE49-F238E27FC236}">
                  <a16:creationId xmlns:a16="http://schemas.microsoft.com/office/drawing/2014/main" id="{00000000-0008-0000-1200-00002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1</xdr:col>
          <xdr:colOff>1924050</xdr:colOff>
          <xdr:row>46</xdr:row>
          <xdr:rowOff>219075</xdr:rowOff>
        </xdr:to>
        <xdr:sp macro="" textlink="">
          <xdr:nvSpPr>
            <xdr:cNvPr id="14372" name="Drop Down 36" hidden="1">
              <a:extLst>
                <a:ext uri="{63B3BB69-23CF-44E3-9099-C40C66FF867C}">
                  <a14:compatExt spid="_x0000_s14372"/>
                </a:ext>
                <a:ext uri="{FF2B5EF4-FFF2-40B4-BE49-F238E27FC236}">
                  <a16:creationId xmlns:a16="http://schemas.microsoft.com/office/drawing/2014/main" id="{00000000-0008-0000-1200-00002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47</xdr:row>
          <xdr:rowOff>19050</xdr:rowOff>
        </xdr:from>
        <xdr:to>
          <xdr:col>1</xdr:col>
          <xdr:colOff>1924050</xdr:colOff>
          <xdr:row>47</xdr:row>
          <xdr:rowOff>219075</xdr:rowOff>
        </xdr:to>
        <xdr:sp macro="" textlink="">
          <xdr:nvSpPr>
            <xdr:cNvPr id="14373" name="Drop Down 37" hidden="1">
              <a:extLst>
                <a:ext uri="{63B3BB69-23CF-44E3-9099-C40C66FF867C}">
                  <a14:compatExt spid="_x0000_s14373"/>
                </a:ext>
                <a:ext uri="{FF2B5EF4-FFF2-40B4-BE49-F238E27FC236}">
                  <a16:creationId xmlns:a16="http://schemas.microsoft.com/office/drawing/2014/main" id="{00000000-0008-0000-1200-000025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1</xdr:col>
          <xdr:colOff>1924050</xdr:colOff>
          <xdr:row>48</xdr:row>
          <xdr:rowOff>219075</xdr:rowOff>
        </xdr:to>
        <xdr:sp macro="" textlink="">
          <xdr:nvSpPr>
            <xdr:cNvPr id="14374" name="Drop Down 38" hidden="1">
              <a:extLst>
                <a:ext uri="{63B3BB69-23CF-44E3-9099-C40C66FF867C}">
                  <a14:compatExt spid="_x0000_s14374"/>
                </a:ext>
                <a:ext uri="{FF2B5EF4-FFF2-40B4-BE49-F238E27FC236}">
                  <a16:creationId xmlns:a16="http://schemas.microsoft.com/office/drawing/2014/main" id="{00000000-0008-0000-1200-000026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49</xdr:row>
          <xdr:rowOff>19050</xdr:rowOff>
        </xdr:from>
        <xdr:to>
          <xdr:col>1</xdr:col>
          <xdr:colOff>1924050</xdr:colOff>
          <xdr:row>49</xdr:row>
          <xdr:rowOff>219075</xdr:rowOff>
        </xdr:to>
        <xdr:sp macro="" textlink="">
          <xdr:nvSpPr>
            <xdr:cNvPr id="14375" name="Drop Down 39" hidden="1">
              <a:extLst>
                <a:ext uri="{63B3BB69-23CF-44E3-9099-C40C66FF867C}">
                  <a14:compatExt spid="_x0000_s14375"/>
                </a:ext>
                <a:ext uri="{FF2B5EF4-FFF2-40B4-BE49-F238E27FC236}">
                  <a16:creationId xmlns:a16="http://schemas.microsoft.com/office/drawing/2014/main" id="{00000000-0008-0000-1200-000027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1</xdr:col>
          <xdr:colOff>1924050</xdr:colOff>
          <xdr:row>50</xdr:row>
          <xdr:rowOff>219075</xdr:rowOff>
        </xdr:to>
        <xdr:sp macro="" textlink="">
          <xdr:nvSpPr>
            <xdr:cNvPr id="14376" name="Drop Down 40" hidden="1">
              <a:extLst>
                <a:ext uri="{63B3BB69-23CF-44E3-9099-C40C66FF867C}">
                  <a14:compatExt spid="_x0000_s14376"/>
                </a:ext>
                <a:ext uri="{FF2B5EF4-FFF2-40B4-BE49-F238E27FC236}">
                  <a16:creationId xmlns:a16="http://schemas.microsoft.com/office/drawing/2014/main" id="{00000000-0008-0000-1200-000028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51</xdr:row>
          <xdr:rowOff>19050</xdr:rowOff>
        </xdr:from>
        <xdr:to>
          <xdr:col>1</xdr:col>
          <xdr:colOff>1924050</xdr:colOff>
          <xdr:row>51</xdr:row>
          <xdr:rowOff>219075</xdr:rowOff>
        </xdr:to>
        <xdr:sp macro="" textlink="">
          <xdr:nvSpPr>
            <xdr:cNvPr id="14377" name="Drop Down 41" hidden="1">
              <a:extLst>
                <a:ext uri="{63B3BB69-23CF-44E3-9099-C40C66FF867C}">
                  <a14:compatExt spid="_x0000_s14377"/>
                </a:ext>
                <a:ext uri="{FF2B5EF4-FFF2-40B4-BE49-F238E27FC236}">
                  <a16:creationId xmlns:a16="http://schemas.microsoft.com/office/drawing/2014/main" id="{00000000-0008-0000-1200-000029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1</xdr:col>
          <xdr:colOff>1924050</xdr:colOff>
          <xdr:row>52</xdr:row>
          <xdr:rowOff>219075</xdr:rowOff>
        </xdr:to>
        <xdr:sp macro="" textlink="">
          <xdr:nvSpPr>
            <xdr:cNvPr id="14378" name="Drop Down 42" hidden="1">
              <a:extLst>
                <a:ext uri="{63B3BB69-23CF-44E3-9099-C40C66FF867C}">
                  <a14:compatExt spid="_x0000_s14378"/>
                </a:ext>
                <a:ext uri="{FF2B5EF4-FFF2-40B4-BE49-F238E27FC236}">
                  <a16:creationId xmlns:a16="http://schemas.microsoft.com/office/drawing/2014/main" id="{00000000-0008-0000-1200-00002A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53</xdr:row>
          <xdr:rowOff>19050</xdr:rowOff>
        </xdr:from>
        <xdr:to>
          <xdr:col>1</xdr:col>
          <xdr:colOff>1924050</xdr:colOff>
          <xdr:row>53</xdr:row>
          <xdr:rowOff>219075</xdr:rowOff>
        </xdr:to>
        <xdr:sp macro="" textlink="">
          <xdr:nvSpPr>
            <xdr:cNvPr id="14379" name="Drop Down 43" hidden="1">
              <a:extLst>
                <a:ext uri="{63B3BB69-23CF-44E3-9099-C40C66FF867C}">
                  <a14:compatExt spid="_x0000_s14379"/>
                </a:ext>
                <a:ext uri="{FF2B5EF4-FFF2-40B4-BE49-F238E27FC236}">
                  <a16:creationId xmlns:a16="http://schemas.microsoft.com/office/drawing/2014/main" id="{00000000-0008-0000-1200-00002B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1</xdr:col>
          <xdr:colOff>1924050</xdr:colOff>
          <xdr:row>54</xdr:row>
          <xdr:rowOff>219075</xdr:rowOff>
        </xdr:to>
        <xdr:sp macro="" textlink="">
          <xdr:nvSpPr>
            <xdr:cNvPr id="14380" name="Drop Down 44" hidden="1">
              <a:extLst>
                <a:ext uri="{63B3BB69-23CF-44E3-9099-C40C66FF867C}">
                  <a14:compatExt spid="_x0000_s14380"/>
                </a:ext>
                <a:ext uri="{FF2B5EF4-FFF2-40B4-BE49-F238E27FC236}">
                  <a16:creationId xmlns:a16="http://schemas.microsoft.com/office/drawing/2014/main" id="{00000000-0008-0000-1200-00002C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55</xdr:row>
          <xdr:rowOff>19050</xdr:rowOff>
        </xdr:from>
        <xdr:to>
          <xdr:col>1</xdr:col>
          <xdr:colOff>1924050</xdr:colOff>
          <xdr:row>55</xdr:row>
          <xdr:rowOff>219075</xdr:rowOff>
        </xdr:to>
        <xdr:sp macro="" textlink="">
          <xdr:nvSpPr>
            <xdr:cNvPr id="14381" name="Drop Down 45" hidden="1">
              <a:extLst>
                <a:ext uri="{63B3BB69-23CF-44E3-9099-C40C66FF867C}">
                  <a14:compatExt spid="_x0000_s14381"/>
                </a:ext>
                <a:ext uri="{FF2B5EF4-FFF2-40B4-BE49-F238E27FC236}">
                  <a16:creationId xmlns:a16="http://schemas.microsoft.com/office/drawing/2014/main" id="{00000000-0008-0000-1200-00002D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247650</xdr:colOff>
          <xdr:row>59</xdr:row>
          <xdr:rowOff>0</xdr:rowOff>
        </xdr:from>
        <xdr:to>
          <xdr:col>10</xdr:col>
          <xdr:colOff>476250</xdr:colOff>
          <xdr:row>59</xdr:row>
          <xdr:rowOff>190500</xdr:rowOff>
        </xdr:to>
        <xdr:sp macro="" textlink="">
          <xdr:nvSpPr>
            <xdr:cNvPr id="14382" name="Check Box 46" hidden="1">
              <a:extLst>
                <a:ext uri="{63B3BB69-23CF-44E3-9099-C40C66FF867C}">
                  <a14:compatExt spid="_x0000_s14382"/>
                </a:ext>
                <a:ext uri="{FF2B5EF4-FFF2-40B4-BE49-F238E27FC236}">
                  <a16:creationId xmlns:a16="http://schemas.microsoft.com/office/drawing/2014/main" id="{00000000-0008-0000-1200-00002E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11</xdr:row>
          <xdr:rowOff>9525</xdr:rowOff>
        </xdr:from>
        <xdr:to>
          <xdr:col>1</xdr:col>
          <xdr:colOff>1924050</xdr:colOff>
          <xdr:row>11</xdr:row>
          <xdr:rowOff>209550</xdr:rowOff>
        </xdr:to>
        <xdr:sp macro="" textlink="">
          <xdr:nvSpPr>
            <xdr:cNvPr id="15361" name="Drop Down 1" hidden="1">
              <a:extLst>
                <a:ext uri="{63B3BB69-23CF-44E3-9099-C40C66FF867C}">
                  <a14:compatExt spid="_x0000_s15361"/>
                </a:ext>
                <a:ext uri="{FF2B5EF4-FFF2-40B4-BE49-F238E27FC236}">
                  <a16:creationId xmlns:a16="http://schemas.microsoft.com/office/drawing/2014/main" id="{00000000-0008-0000-1300-000001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12</xdr:row>
          <xdr:rowOff>9525</xdr:rowOff>
        </xdr:from>
        <xdr:to>
          <xdr:col>1</xdr:col>
          <xdr:colOff>1924050</xdr:colOff>
          <xdr:row>12</xdr:row>
          <xdr:rowOff>209550</xdr:rowOff>
        </xdr:to>
        <xdr:sp macro="" textlink="">
          <xdr:nvSpPr>
            <xdr:cNvPr id="15362" name="Drop Down 2" hidden="1">
              <a:extLst>
                <a:ext uri="{63B3BB69-23CF-44E3-9099-C40C66FF867C}">
                  <a14:compatExt spid="_x0000_s15362"/>
                </a:ext>
                <a:ext uri="{FF2B5EF4-FFF2-40B4-BE49-F238E27FC236}">
                  <a16:creationId xmlns:a16="http://schemas.microsoft.com/office/drawing/2014/main" id="{00000000-0008-0000-1300-000002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13</xdr:row>
          <xdr:rowOff>19050</xdr:rowOff>
        </xdr:from>
        <xdr:to>
          <xdr:col>1</xdr:col>
          <xdr:colOff>1924050</xdr:colOff>
          <xdr:row>13</xdr:row>
          <xdr:rowOff>219075</xdr:rowOff>
        </xdr:to>
        <xdr:sp macro="" textlink="">
          <xdr:nvSpPr>
            <xdr:cNvPr id="15363" name="Drop Down 3" hidden="1">
              <a:extLst>
                <a:ext uri="{63B3BB69-23CF-44E3-9099-C40C66FF867C}">
                  <a14:compatExt spid="_x0000_s15363"/>
                </a:ext>
                <a:ext uri="{FF2B5EF4-FFF2-40B4-BE49-F238E27FC236}">
                  <a16:creationId xmlns:a16="http://schemas.microsoft.com/office/drawing/2014/main" id="{00000000-0008-0000-1300-000003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14</xdr:row>
          <xdr:rowOff>19050</xdr:rowOff>
        </xdr:from>
        <xdr:to>
          <xdr:col>1</xdr:col>
          <xdr:colOff>1924050</xdr:colOff>
          <xdr:row>14</xdr:row>
          <xdr:rowOff>219075</xdr:rowOff>
        </xdr:to>
        <xdr:sp macro="" textlink="">
          <xdr:nvSpPr>
            <xdr:cNvPr id="15364" name="Drop Down 4" hidden="1">
              <a:extLst>
                <a:ext uri="{63B3BB69-23CF-44E3-9099-C40C66FF867C}">
                  <a14:compatExt spid="_x0000_s15364"/>
                </a:ext>
                <a:ext uri="{FF2B5EF4-FFF2-40B4-BE49-F238E27FC236}">
                  <a16:creationId xmlns:a16="http://schemas.microsoft.com/office/drawing/2014/main" id="{00000000-0008-0000-1300-000004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15</xdr:row>
          <xdr:rowOff>19050</xdr:rowOff>
        </xdr:from>
        <xdr:to>
          <xdr:col>1</xdr:col>
          <xdr:colOff>1924050</xdr:colOff>
          <xdr:row>15</xdr:row>
          <xdr:rowOff>219075</xdr:rowOff>
        </xdr:to>
        <xdr:sp macro="" textlink="">
          <xdr:nvSpPr>
            <xdr:cNvPr id="15365" name="Drop Down 5" hidden="1">
              <a:extLst>
                <a:ext uri="{63B3BB69-23CF-44E3-9099-C40C66FF867C}">
                  <a14:compatExt spid="_x0000_s15365"/>
                </a:ext>
                <a:ext uri="{FF2B5EF4-FFF2-40B4-BE49-F238E27FC236}">
                  <a16:creationId xmlns:a16="http://schemas.microsoft.com/office/drawing/2014/main" id="{00000000-0008-0000-1300-000005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16</xdr:row>
          <xdr:rowOff>19050</xdr:rowOff>
        </xdr:from>
        <xdr:to>
          <xdr:col>1</xdr:col>
          <xdr:colOff>1924050</xdr:colOff>
          <xdr:row>16</xdr:row>
          <xdr:rowOff>219075</xdr:rowOff>
        </xdr:to>
        <xdr:sp macro="" textlink="">
          <xdr:nvSpPr>
            <xdr:cNvPr id="15366" name="Drop Down 6" hidden="1">
              <a:extLst>
                <a:ext uri="{63B3BB69-23CF-44E3-9099-C40C66FF867C}">
                  <a14:compatExt spid="_x0000_s15366"/>
                </a:ext>
                <a:ext uri="{FF2B5EF4-FFF2-40B4-BE49-F238E27FC236}">
                  <a16:creationId xmlns:a16="http://schemas.microsoft.com/office/drawing/2014/main" id="{00000000-0008-0000-1300-000006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17</xdr:row>
          <xdr:rowOff>19050</xdr:rowOff>
        </xdr:from>
        <xdr:to>
          <xdr:col>1</xdr:col>
          <xdr:colOff>1924050</xdr:colOff>
          <xdr:row>17</xdr:row>
          <xdr:rowOff>219075</xdr:rowOff>
        </xdr:to>
        <xdr:sp macro="" textlink="">
          <xdr:nvSpPr>
            <xdr:cNvPr id="15367" name="Drop Down 7" hidden="1">
              <a:extLst>
                <a:ext uri="{63B3BB69-23CF-44E3-9099-C40C66FF867C}">
                  <a14:compatExt spid="_x0000_s15367"/>
                </a:ext>
                <a:ext uri="{FF2B5EF4-FFF2-40B4-BE49-F238E27FC236}">
                  <a16:creationId xmlns:a16="http://schemas.microsoft.com/office/drawing/2014/main" id="{00000000-0008-0000-1300-000007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18</xdr:row>
          <xdr:rowOff>19050</xdr:rowOff>
        </xdr:from>
        <xdr:to>
          <xdr:col>1</xdr:col>
          <xdr:colOff>1924050</xdr:colOff>
          <xdr:row>18</xdr:row>
          <xdr:rowOff>219075</xdr:rowOff>
        </xdr:to>
        <xdr:sp macro="" textlink="">
          <xdr:nvSpPr>
            <xdr:cNvPr id="15368" name="Drop Down 8" hidden="1">
              <a:extLst>
                <a:ext uri="{63B3BB69-23CF-44E3-9099-C40C66FF867C}">
                  <a14:compatExt spid="_x0000_s15368"/>
                </a:ext>
                <a:ext uri="{FF2B5EF4-FFF2-40B4-BE49-F238E27FC236}">
                  <a16:creationId xmlns:a16="http://schemas.microsoft.com/office/drawing/2014/main" id="{00000000-0008-0000-1300-000008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19</xdr:row>
          <xdr:rowOff>28575</xdr:rowOff>
        </xdr:from>
        <xdr:to>
          <xdr:col>1</xdr:col>
          <xdr:colOff>1924050</xdr:colOff>
          <xdr:row>20</xdr:row>
          <xdr:rowOff>0</xdr:rowOff>
        </xdr:to>
        <xdr:sp macro="" textlink="">
          <xdr:nvSpPr>
            <xdr:cNvPr id="15369" name="Drop Down 9" hidden="1">
              <a:extLst>
                <a:ext uri="{63B3BB69-23CF-44E3-9099-C40C66FF867C}">
                  <a14:compatExt spid="_x0000_s15369"/>
                </a:ext>
                <a:ext uri="{FF2B5EF4-FFF2-40B4-BE49-F238E27FC236}">
                  <a16:creationId xmlns:a16="http://schemas.microsoft.com/office/drawing/2014/main" id="{00000000-0008-0000-1300-000009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20</xdr:row>
          <xdr:rowOff>19050</xdr:rowOff>
        </xdr:from>
        <xdr:to>
          <xdr:col>1</xdr:col>
          <xdr:colOff>1924050</xdr:colOff>
          <xdr:row>20</xdr:row>
          <xdr:rowOff>219075</xdr:rowOff>
        </xdr:to>
        <xdr:sp macro="" textlink="">
          <xdr:nvSpPr>
            <xdr:cNvPr id="15370" name="Drop Down 10" hidden="1">
              <a:extLst>
                <a:ext uri="{63B3BB69-23CF-44E3-9099-C40C66FF867C}">
                  <a14:compatExt spid="_x0000_s15370"/>
                </a:ext>
                <a:ext uri="{FF2B5EF4-FFF2-40B4-BE49-F238E27FC236}">
                  <a16:creationId xmlns:a16="http://schemas.microsoft.com/office/drawing/2014/main" id="{00000000-0008-0000-1300-00000A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21</xdr:row>
          <xdr:rowOff>28575</xdr:rowOff>
        </xdr:from>
        <xdr:to>
          <xdr:col>1</xdr:col>
          <xdr:colOff>1924050</xdr:colOff>
          <xdr:row>22</xdr:row>
          <xdr:rowOff>0</xdr:rowOff>
        </xdr:to>
        <xdr:sp macro="" textlink="">
          <xdr:nvSpPr>
            <xdr:cNvPr id="15371" name="Drop Down 11" hidden="1">
              <a:extLst>
                <a:ext uri="{63B3BB69-23CF-44E3-9099-C40C66FF867C}">
                  <a14:compatExt spid="_x0000_s15371"/>
                </a:ext>
                <a:ext uri="{FF2B5EF4-FFF2-40B4-BE49-F238E27FC236}">
                  <a16:creationId xmlns:a16="http://schemas.microsoft.com/office/drawing/2014/main" id="{00000000-0008-0000-1300-00000B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22</xdr:row>
          <xdr:rowOff>28575</xdr:rowOff>
        </xdr:from>
        <xdr:to>
          <xdr:col>1</xdr:col>
          <xdr:colOff>1924050</xdr:colOff>
          <xdr:row>23</xdr:row>
          <xdr:rowOff>0</xdr:rowOff>
        </xdr:to>
        <xdr:sp macro="" textlink="">
          <xdr:nvSpPr>
            <xdr:cNvPr id="15372" name="Drop Down 12" hidden="1">
              <a:extLst>
                <a:ext uri="{63B3BB69-23CF-44E3-9099-C40C66FF867C}">
                  <a14:compatExt spid="_x0000_s15372"/>
                </a:ext>
                <a:ext uri="{FF2B5EF4-FFF2-40B4-BE49-F238E27FC236}">
                  <a16:creationId xmlns:a16="http://schemas.microsoft.com/office/drawing/2014/main" id="{00000000-0008-0000-1300-00000C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23</xdr:row>
          <xdr:rowOff>19050</xdr:rowOff>
        </xdr:from>
        <xdr:to>
          <xdr:col>1</xdr:col>
          <xdr:colOff>1924050</xdr:colOff>
          <xdr:row>23</xdr:row>
          <xdr:rowOff>219075</xdr:rowOff>
        </xdr:to>
        <xdr:sp macro="" textlink="">
          <xdr:nvSpPr>
            <xdr:cNvPr id="15373" name="Drop Down 13" hidden="1">
              <a:extLst>
                <a:ext uri="{63B3BB69-23CF-44E3-9099-C40C66FF867C}">
                  <a14:compatExt spid="_x0000_s15373"/>
                </a:ext>
                <a:ext uri="{FF2B5EF4-FFF2-40B4-BE49-F238E27FC236}">
                  <a16:creationId xmlns:a16="http://schemas.microsoft.com/office/drawing/2014/main" id="{00000000-0008-0000-1300-00000D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24</xdr:row>
          <xdr:rowOff>28575</xdr:rowOff>
        </xdr:from>
        <xdr:to>
          <xdr:col>1</xdr:col>
          <xdr:colOff>1924050</xdr:colOff>
          <xdr:row>25</xdr:row>
          <xdr:rowOff>0</xdr:rowOff>
        </xdr:to>
        <xdr:sp macro="" textlink="">
          <xdr:nvSpPr>
            <xdr:cNvPr id="15374" name="Drop Down 14" hidden="1">
              <a:extLst>
                <a:ext uri="{63B3BB69-23CF-44E3-9099-C40C66FF867C}">
                  <a14:compatExt spid="_x0000_s15374"/>
                </a:ext>
                <a:ext uri="{FF2B5EF4-FFF2-40B4-BE49-F238E27FC236}">
                  <a16:creationId xmlns:a16="http://schemas.microsoft.com/office/drawing/2014/main" id="{00000000-0008-0000-1300-00000E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25</xdr:row>
          <xdr:rowOff>19050</xdr:rowOff>
        </xdr:from>
        <xdr:to>
          <xdr:col>1</xdr:col>
          <xdr:colOff>1924050</xdr:colOff>
          <xdr:row>25</xdr:row>
          <xdr:rowOff>219075</xdr:rowOff>
        </xdr:to>
        <xdr:sp macro="" textlink="">
          <xdr:nvSpPr>
            <xdr:cNvPr id="15375" name="Drop Down 15" hidden="1">
              <a:extLst>
                <a:ext uri="{63B3BB69-23CF-44E3-9099-C40C66FF867C}">
                  <a14:compatExt spid="_x0000_s15375"/>
                </a:ext>
                <a:ext uri="{FF2B5EF4-FFF2-40B4-BE49-F238E27FC236}">
                  <a16:creationId xmlns:a16="http://schemas.microsoft.com/office/drawing/2014/main" id="{00000000-0008-0000-1300-00000F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26</xdr:row>
          <xdr:rowOff>19050</xdr:rowOff>
        </xdr:from>
        <xdr:to>
          <xdr:col>1</xdr:col>
          <xdr:colOff>1924050</xdr:colOff>
          <xdr:row>26</xdr:row>
          <xdr:rowOff>219075</xdr:rowOff>
        </xdr:to>
        <xdr:sp macro="" textlink="">
          <xdr:nvSpPr>
            <xdr:cNvPr id="15376" name="Drop Down 16" hidden="1">
              <a:extLst>
                <a:ext uri="{63B3BB69-23CF-44E3-9099-C40C66FF867C}">
                  <a14:compatExt spid="_x0000_s15376"/>
                </a:ext>
                <a:ext uri="{FF2B5EF4-FFF2-40B4-BE49-F238E27FC236}">
                  <a16:creationId xmlns:a16="http://schemas.microsoft.com/office/drawing/2014/main" id="{00000000-0008-0000-1300-000010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27</xdr:row>
          <xdr:rowOff>19050</xdr:rowOff>
        </xdr:from>
        <xdr:to>
          <xdr:col>1</xdr:col>
          <xdr:colOff>1924050</xdr:colOff>
          <xdr:row>27</xdr:row>
          <xdr:rowOff>219075</xdr:rowOff>
        </xdr:to>
        <xdr:sp macro="" textlink="">
          <xdr:nvSpPr>
            <xdr:cNvPr id="15377" name="Drop Down 17" hidden="1">
              <a:extLst>
                <a:ext uri="{63B3BB69-23CF-44E3-9099-C40C66FF867C}">
                  <a14:compatExt spid="_x0000_s15377"/>
                </a:ext>
                <a:ext uri="{FF2B5EF4-FFF2-40B4-BE49-F238E27FC236}">
                  <a16:creationId xmlns:a16="http://schemas.microsoft.com/office/drawing/2014/main" id="{00000000-0008-0000-1300-000011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28</xdr:row>
          <xdr:rowOff>19050</xdr:rowOff>
        </xdr:from>
        <xdr:to>
          <xdr:col>1</xdr:col>
          <xdr:colOff>1924050</xdr:colOff>
          <xdr:row>28</xdr:row>
          <xdr:rowOff>219075</xdr:rowOff>
        </xdr:to>
        <xdr:sp macro="" textlink="">
          <xdr:nvSpPr>
            <xdr:cNvPr id="15378" name="Drop Down 18" hidden="1">
              <a:extLst>
                <a:ext uri="{63B3BB69-23CF-44E3-9099-C40C66FF867C}">
                  <a14:compatExt spid="_x0000_s15378"/>
                </a:ext>
                <a:ext uri="{FF2B5EF4-FFF2-40B4-BE49-F238E27FC236}">
                  <a16:creationId xmlns:a16="http://schemas.microsoft.com/office/drawing/2014/main" id="{00000000-0008-0000-1300-000012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29</xdr:row>
          <xdr:rowOff>19050</xdr:rowOff>
        </xdr:from>
        <xdr:to>
          <xdr:col>1</xdr:col>
          <xdr:colOff>1924050</xdr:colOff>
          <xdr:row>29</xdr:row>
          <xdr:rowOff>219075</xdr:rowOff>
        </xdr:to>
        <xdr:sp macro="" textlink="">
          <xdr:nvSpPr>
            <xdr:cNvPr id="15379" name="Drop Down 19" hidden="1">
              <a:extLst>
                <a:ext uri="{63B3BB69-23CF-44E3-9099-C40C66FF867C}">
                  <a14:compatExt spid="_x0000_s15379"/>
                </a:ext>
                <a:ext uri="{FF2B5EF4-FFF2-40B4-BE49-F238E27FC236}">
                  <a16:creationId xmlns:a16="http://schemas.microsoft.com/office/drawing/2014/main" id="{00000000-0008-0000-1300-000013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30</xdr:row>
          <xdr:rowOff>19050</xdr:rowOff>
        </xdr:from>
        <xdr:to>
          <xdr:col>1</xdr:col>
          <xdr:colOff>1924050</xdr:colOff>
          <xdr:row>30</xdr:row>
          <xdr:rowOff>219075</xdr:rowOff>
        </xdr:to>
        <xdr:sp macro="" textlink="">
          <xdr:nvSpPr>
            <xdr:cNvPr id="15380" name="Drop Down 20" hidden="1">
              <a:extLst>
                <a:ext uri="{63B3BB69-23CF-44E3-9099-C40C66FF867C}">
                  <a14:compatExt spid="_x0000_s15380"/>
                </a:ext>
                <a:ext uri="{FF2B5EF4-FFF2-40B4-BE49-F238E27FC236}">
                  <a16:creationId xmlns:a16="http://schemas.microsoft.com/office/drawing/2014/main" id="{00000000-0008-0000-1300-000014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31</xdr:row>
          <xdr:rowOff>19050</xdr:rowOff>
        </xdr:from>
        <xdr:to>
          <xdr:col>1</xdr:col>
          <xdr:colOff>1924050</xdr:colOff>
          <xdr:row>31</xdr:row>
          <xdr:rowOff>219075</xdr:rowOff>
        </xdr:to>
        <xdr:sp macro="" textlink="">
          <xdr:nvSpPr>
            <xdr:cNvPr id="15381" name="Drop Down 21" hidden="1">
              <a:extLst>
                <a:ext uri="{63B3BB69-23CF-44E3-9099-C40C66FF867C}">
                  <a14:compatExt spid="_x0000_s15381"/>
                </a:ext>
                <a:ext uri="{FF2B5EF4-FFF2-40B4-BE49-F238E27FC236}">
                  <a16:creationId xmlns:a16="http://schemas.microsoft.com/office/drawing/2014/main" id="{00000000-0008-0000-1300-000015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32</xdr:row>
          <xdr:rowOff>19050</xdr:rowOff>
        </xdr:from>
        <xdr:to>
          <xdr:col>1</xdr:col>
          <xdr:colOff>1924050</xdr:colOff>
          <xdr:row>32</xdr:row>
          <xdr:rowOff>219075</xdr:rowOff>
        </xdr:to>
        <xdr:sp macro="" textlink="">
          <xdr:nvSpPr>
            <xdr:cNvPr id="15382" name="Drop Down 22" hidden="1">
              <a:extLst>
                <a:ext uri="{63B3BB69-23CF-44E3-9099-C40C66FF867C}">
                  <a14:compatExt spid="_x0000_s15382"/>
                </a:ext>
                <a:ext uri="{FF2B5EF4-FFF2-40B4-BE49-F238E27FC236}">
                  <a16:creationId xmlns:a16="http://schemas.microsoft.com/office/drawing/2014/main" id="{00000000-0008-0000-1300-000016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33</xdr:row>
          <xdr:rowOff>19050</xdr:rowOff>
        </xdr:from>
        <xdr:to>
          <xdr:col>1</xdr:col>
          <xdr:colOff>1924050</xdr:colOff>
          <xdr:row>33</xdr:row>
          <xdr:rowOff>219075</xdr:rowOff>
        </xdr:to>
        <xdr:sp macro="" textlink="">
          <xdr:nvSpPr>
            <xdr:cNvPr id="15383" name="Drop Down 23" hidden="1">
              <a:extLst>
                <a:ext uri="{63B3BB69-23CF-44E3-9099-C40C66FF867C}">
                  <a14:compatExt spid="_x0000_s15383"/>
                </a:ext>
                <a:ext uri="{FF2B5EF4-FFF2-40B4-BE49-F238E27FC236}">
                  <a16:creationId xmlns:a16="http://schemas.microsoft.com/office/drawing/2014/main" id="{00000000-0008-0000-1300-000017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34</xdr:row>
          <xdr:rowOff>19050</xdr:rowOff>
        </xdr:from>
        <xdr:to>
          <xdr:col>1</xdr:col>
          <xdr:colOff>1924050</xdr:colOff>
          <xdr:row>34</xdr:row>
          <xdr:rowOff>219075</xdr:rowOff>
        </xdr:to>
        <xdr:sp macro="" textlink="">
          <xdr:nvSpPr>
            <xdr:cNvPr id="15384" name="Drop Down 24" hidden="1">
              <a:extLst>
                <a:ext uri="{63B3BB69-23CF-44E3-9099-C40C66FF867C}">
                  <a14:compatExt spid="_x0000_s15384"/>
                </a:ext>
                <a:ext uri="{FF2B5EF4-FFF2-40B4-BE49-F238E27FC236}">
                  <a16:creationId xmlns:a16="http://schemas.microsoft.com/office/drawing/2014/main" id="{00000000-0008-0000-1300-000018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35</xdr:row>
          <xdr:rowOff>19050</xdr:rowOff>
        </xdr:from>
        <xdr:to>
          <xdr:col>1</xdr:col>
          <xdr:colOff>1924050</xdr:colOff>
          <xdr:row>35</xdr:row>
          <xdr:rowOff>219075</xdr:rowOff>
        </xdr:to>
        <xdr:sp macro="" textlink="">
          <xdr:nvSpPr>
            <xdr:cNvPr id="15385" name="Drop Down 25" hidden="1">
              <a:extLst>
                <a:ext uri="{63B3BB69-23CF-44E3-9099-C40C66FF867C}">
                  <a14:compatExt spid="_x0000_s15385"/>
                </a:ext>
                <a:ext uri="{FF2B5EF4-FFF2-40B4-BE49-F238E27FC236}">
                  <a16:creationId xmlns:a16="http://schemas.microsoft.com/office/drawing/2014/main" id="{00000000-0008-0000-1300-000019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36</xdr:row>
          <xdr:rowOff>19050</xdr:rowOff>
        </xdr:from>
        <xdr:to>
          <xdr:col>1</xdr:col>
          <xdr:colOff>1924050</xdr:colOff>
          <xdr:row>36</xdr:row>
          <xdr:rowOff>219075</xdr:rowOff>
        </xdr:to>
        <xdr:sp macro="" textlink="">
          <xdr:nvSpPr>
            <xdr:cNvPr id="15386" name="Drop Down 26" hidden="1">
              <a:extLst>
                <a:ext uri="{63B3BB69-23CF-44E3-9099-C40C66FF867C}">
                  <a14:compatExt spid="_x0000_s15386"/>
                </a:ext>
                <a:ext uri="{FF2B5EF4-FFF2-40B4-BE49-F238E27FC236}">
                  <a16:creationId xmlns:a16="http://schemas.microsoft.com/office/drawing/2014/main" id="{00000000-0008-0000-1300-00001A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37</xdr:row>
          <xdr:rowOff>19050</xdr:rowOff>
        </xdr:from>
        <xdr:to>
          <xdr:col>1</xdr:col>
          <xdr:colOff>1924050</xdr:colOff>
          <xdr:row>37</xdr:row>
          <xdr:rowOff>219075</xdr:rowOff>
        </xdr:to>
        <xdr:sp macro="" textlink="">
          <xdr:nvSpPr>
            <xdr:cNvPr id="15387" name="Drop Down 27" hidden="1">
              <a:extLst>
                <a:ext uri="{63B3BB69-23CF-44E3-9099-C40C66FF867C}">
                  <a14:compatExt spid="_x0000_s15387"/>
                </a:ext>
                <a:ext uri="{FF2B5EF4-FFF2-40B4-BE49-F238E27FC236}">
                  <a16:creationId xmlns:a16="http://schemas.microsoft.com/office/drawing/2014/main" id="{00000000-0008-0000-1300-00001B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38</xdr:row>
          <xdr:rowOff>19050</xdr:rowOff>
        </xdr:from>
        <xdr:to>
          <xdr:col>1</xdr:col>
          <xdr:colOff>1924050</xdr:colOff>
          <xdr:row>38</xdr:row>
          <xdr:rowOff>219075</xdr:rowOff>
        </xdr:to>
        <xdr:sp macro="" textlink="">
          <xdr:nvSpPr>
            <xdr:cNvPr id="15388" name="Drop Down 28" hidden="1">
              <a:extLst>
                <a:ext uri="{63B3BB69-23CF-44E3-9099-C40C66FF867C}">
                  <a14:compatExt spid="_x0000_s15388"/>
                </a:ext>
                <a:ext uri="{FF2B5EF4-FFF2-40B4-BE49-F238E27FC236}">
                  <a16:creationId xmlns:a16="http://schemas.microsoft.com/office/drawing/2014/main" id="{00000000-0008-0000-1300-00001C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39</xdr:row>
          <xdr:rowOff>19050</xdr:rowOff>
        </xdr:from>
        <xdr:to>
          <xdr:col>1</xdr:col>
          <xdr:colOff>1924050</xdr:colOff>
          <xdr:row>39</xdr:row>
          <xdr:rowOff>219075</xdr:rowOff>
        </xdr:to>
        <xdr:sp macro="" textlink="">
          <xdr:nvSpPr>
            <xdr:cNvPr id="15389" name="Drop Down 29" hidden="1">
              <a:extLst>
                <a:ext uri="{63B3BB69-23CF-44E3-9099-C40C66FF867C}">
                  <a14:compatExt spid="_x0000_s15389"/>
                </a:ext>
                <a:ext uri="{FF2B5EF4-FFF2-40B4-BE49-F238E27FC236}">
                  <a16:creationId xmlns:a16="http://schemas.microsoft.com/office/drawing/2014/main" id="{00000000-0008-0000-1300-00001D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40</xdr:row>
          <xdr:rowOff>19050</xdr:rowOff>
        </xdr:from>
        <xdr:to>
          <xdr:col>1</xdr:col>
          <xdr:colOff>1924050</xdr:colOff>
          <xdr:row>40</xdr:row>
          <xdr:rowOff>219075</xdr:rowOff>
        </xdr:to>
        <xdr:sp macro="" textlink="">
          <xdr:nvSpPr>
            <xdr:cNvPr id="15390" name="Drop Down 30" hidden="1">
              <a:extLst>
                <a:ext uri="{63B3BB69-23CF-44E3-9099-C40C66FF867C}">
                  <a14:compatExt spid="_x0000_s15390"/>
                </a:ext>
                <a:ext uri="{FF2B5EF4-FFF2-40B4-BE49-F238E27FC236}">
                  <a16:creationId xmlns:a16="http://schemas.microsoft.com/office/drawing/2014/main" id="{00000000-0008-0000-1300-00001E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41</xdr:row>
          <xdr:rowOff>19050</xdr:rowOff>
        </xdr:from>
        <xdr:to>
          <xdr:col>1</xdr:col>
          <xdr:colOff>1924050</xdr:colOff>
          <xdr:row>41</xdr:row>
          <xdr:rowOff>219075</xdr:rowOff>
        </xdr:to>
        <xdr:sp macro="" textlink="">
          <xdr:nvSpPr>
            <xdr:cNvPr id="15391" name="Drop Down 31" hidden="1">
              <a:extLst>
                <a:ext uri="{63B3BB69-23CF-44E3-9099-C40C66FF867C}">
                  <a14:compatExt spid="_x0000_s15391"/>
                </a:ext>
                <a:ext uri="{FF2B5EF4-FFF2-40B4-BE49-F238E27FC236}">
                  <a16:creationId xmlns:a16="http://schemas.microsoft.com/office/drawing/2014/main" id="{00000000-0008-0000-1300-00001F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42</xdr:row>
          <xdr:rowOff>19050</xdr:rowOff>
        </xdr:from>
        <xdr:to>
          <xdr:col>1</xdr:col>
          <xdr:colOff>1924050</xdr:colOff>
          <xdr:row>42</xdr:row>
          <xdr:rowOff>219075</xdr:rowOff>
        </xdr:to>
        <xdr:sp macro="" textlink="">
          <xdr:nvSpPr>
            <xdr:cNvPr id="15392" name="Drop Down 32" hidden="1">
              <a:extLst>
                <a:ext uri="{63B3BB69-23CF-44E3-9099-C40C66FF867C}">
                  <a14:compatExt spid="_x0000_s15392"/>
                </a:ext>
                <a:ext uri="{FF2B5EF4-FFF2-40B4-BE49-F238E27FC236}">
                  <a16:creationId xmlns:a16="http://schemas.microsoft.com/office/drawing/2014/main" id="{00000000-0008-0000-1300-000020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43</xdr:row>
          <xdr:rowOff>19050</xdr:rowOff>
        </xdr:from>
        <xdr:to>
          <xdr:col>1</xdr:col>
          <xdr:colOff>1924050</xdr:colOff>
          <xdr:row>43</xdr:row>
          <xdr:rowOff>219075</xdr:rowOff>
        </xdr:to>
        <xdr:sp macro="" textlink="">
          <xdr:nvSpPr>
            <xdr:cNvPr id="15393" name="Drop Down 33" hidden="1">
              <a:extLst>
                <a:ext uri="{63B3BB69-23CF-44E3-9099-C40C66FF867C}">
                  <a14:compatExt spid="_x0000_s15393"/>
                </a:ext>
                <a:ext uri="{FF2B5EF4-FFF2-40B4-BE49-F238E27FC236}">
                  <a16:creationId xmlns:a16="http://schemas.microsoft.com/office/drawing/2014/main" id="{00000000-0008-0000-1300-000021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44</xdr:row>
          <xdr:rowOff>19050</xdr:rowOff>
        </xdr:from>
        <xdr:to>
          <xdr:col>1</xdr:col>
          <xdr:colOff>1924050</xdr:colOff>
          <xdr:row>44</xdr:row>
          <xdr:rowOff>219075</xdr:rowOff>
        </xdr:to>
        <xdr:sp macro="" textlink="">
          <xdr:nvSpPr>
            <xdr:cNvPr id="15394" name="Drop Down 34" hidden="1">
              <a:extLst>
                <a:ext uri="{63B3BB69-23CF-44E3-9099-C40C66FF867C}">
                  <a14:compatExt spid="_x0000_s15394"/>
                </a:ext>
                <a:ext uri="{FF2B5EF4-FFF2-40B4-BE49-F238E27FC236}">
                  <a16:creationId xmlns:a16="http://schemas.microsoft.com/office/drawing/2014/main" id="{00000000-0008-0000-1300-000022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45</xdr:row>
          <xdr:rowOff>19050</xdr:rowOff>
        </xdr:from>
        <xdr:to>
          <xdr:col>1</xdr:col>
          <xdr:colOff>1924050</xdr:colOff>
          <xdr:row>45</xdr:row>
          <xdr:rowOff>219075</xdr:rowOff>
        </xdr:to>
        <xdr:sp macro="" textlink="">
          <xdr:nvSpPr>
            <xdr:cNvPr id="15395" name="Drop Down 35" hidden="1">
              <a:extLst>
                <a:ext uri="{63B3BB69-23CF-44E3-9099-C40C66FF867C}">
                  <a14:compatExt spid="_x0000_s15395"/>
                </a:ext>
                <a:ext uri="{FF2B5EF4-FFF2-40B4-BE49-F238E27FC236}">
                  <a16:creationId xmlns:a16="http://schemas.microsoft.com/office/drawing/2014/main" id="{00000000-0008-0000-1300-000023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46</xdr:row>
          <xdr:rowOff>19050</xdr:rowOff>
        </xdr:from>
        <xdr:to>
          <xdr:col>1</xdr:col>
          <xdr:colOff>1924050</xdr:colOff>
          <xdr:row>46</xdr:row>
          <xdr:rowOff>219075</xdr:rowOff>
        </xdr:to>
        <xdr:sp macro="" textlink="">
          <xdr:nvSpPr>
            <xdr:cNvPr id="15396" name="Drop Down 36" hidden="1">
              <a:extLst>
                <a:ext uri="{63B3BB69-23CF-44E3-9099-C40C66FF867C}">
                  <a14:compatExt spid="_x0000_s15396"/>
                </a:ext>
                <a:ext uri="{FF2B5EF4-FFF2-40B4-BE49-F238E27FC236}">
                  <a16:creationId xmlns:a16="http://schemas.microsoft.com/office/drawing/2014/main" id="{00000000-0008-0000-1300-000024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47</xdr:row>
          <xdr:rowOff>19050</xdr:rowOff>
        </xdr:from>
        <xdr:to>
          <xdr:col>1</xdr:col>
          <xdr:colOff>1924050</xdr:colOff>
          <xdr:row>47</xdr:row>
          <xdr:rowOff>219075</xdr:rowOff>
        </xdr:to>
        <xdr:sp macro="" textlink="">
          <xdr:nvSpPr>
            <xdr:cNvPr id="15397" name="Drop Down 37" hidden="1">
              <a:extLst>
                <a:ext uri="{63B3BB69-23CF-44E3-9099-C40C66FF867C}">
                  <a14:compatExt spid="_x0000_s15397"/>
                </a:ext>
                <a:ext uri="{FF2B5EF4-FFF2-40B4-BE49-F238E27FC236}">
                  <a16:creationId xmlns:a16="http://schemas.microsoft.com/office/drawing/2014/main" id="{00000000-0008-0000-1300-000025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48</xdr:row>
          <xdr:rowOff>19050</xdr:rowOff>
        </xdr:from>
        <xdr:to>
          <xdr:col>1</xdr:col>
          <xdr:colOff>1924050</xdr:colOff>
          <xdr:row>48</xdr:row>
          <xdr:rowOff>219075</xdr:rowOff>
        </xdr:to>
        <xdr:sp macro="" textlink="">
          <xdr:nvSpPr>
            <xdr:cNvPr id="15398" name="Drop Down 38" hidden="1">
              <a:extLst>
                <a:ext uri="{63B3BB69-23CF-44E3-9099-C40C66FF867C}">
                  <a14:compatExt spid="_x0000_s15398"/>
                </a:ext>
                <a:ext uri="{FF2B5EF4-FFF2-40B4-BE49-F238E27FC236}">
                  <a16:creationId xmlns:a16="http://schemas.microsoft.com/office/drawing/2014/main" id="{00000000-0008-0000-1300-000026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49</xdr:row>
          <xdr:rowOff>19050</xdr:rowOff>
        </xdr:from>
        <xdr:to>
          <xdr:col>1</xdr:col>
          <xdr:colOff>1924050</xdr:colOff>
          <xdr:row>49</xdr:row>
          <xdr:rowOff>219075</xdr:rowOff>
        </xdr:to>
        <xdr:sp macro="" textlink="">
          <xdr:nvSpPr>
            <xdr:cNvPr id="15399" name="Drop Down 39" hidden="1">
              <a:extLst>
                <a:ext uri="{63B3BB69-23CF-44E3-9099-C40C66FF867C}">
                  <a14:compatExt spid="_x0000_s15399"/>
                </a:ext>
                <a:ext uri="{FF2B5EF4-FFF2-40B4-BE49-F238E27FC236}">
                  <a16:creationId xmlns:a16="http://schemas.microsoft.com/office/drawing/2014/main" id="{00000000-0008-0000-1300-000027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50</xdr:row>
          <xdr:rowOff>19050</xdr:rowOff>
        </xdr:from>
        <xdr:to>
          <xdr:col>1</xdr:col>
          <xdr:colOff>1924050</xdr:colOff>
          <xdr:row>50</xdr:row>
          <xdr:rowOff>219075</xdr:rowOff>
        </xdr:to>
        <xdr:sp macro="" textlink="">
          <xdr:nvSpPr>
            <xdr:cNvPr id="15400" name="Drop Down 40" hidden="1">
              <a:extLst>
                <a:ext uri="{63B3BB69-23CF-44E3-9099-C40C66FF867C}">
                  <a14:compatExt spid="_x0000_s15400"/>
                </a:ext>
                <a:ext uri="{FF2B5EF4-FFF2-40B4-BE49-F238E27FC236}">
                  <a16:creationId xmlns:a16="http://schemas.microsoft.com/office/drawing/2014/main" id="{00000000-0008-0000-1300-000028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51</xdr:row>
          <xdr:rowOff>19050</xdr:rowOff>
        </xdr:from>
        <xdr:to>
          <xdr:col>1</xdr:col>
          <xdr:colOff>1924050</xdr:colOff>
          <xdr:row>51</xdr:row>
          <xdr:rowOff>219075</xdr:rowOff>
        </xdr:to>
        <xdr:sp macro="" textlink="">
          <xdr:nvSpPr>
            <xdr:cNvPr id="15401" name="Drop Down 41" hidden="1">
              <a:extLst>
                <a:ext uri="{63B3BB69-23CF-44E3-9099-C40C66FF867C}">
                  <a14:compatExt spid="_x0000_s15401"/>
                </a:ext>
                <a:ext uri="{FF2B5EF4-FFF2-40B4-BE49-F238E27FC236}">
                  <a16:creationId xmlns:a16="http://schemas.microsoft.com/office/drawing/2014/main" id="{00000000-0008-0000-1300-000029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52</xdr:row>
          <xdr:rowOff>19050</xdr:rowOff>
        </xdr:from>
        <xdr:to>
          <xdr:col>1</xdr:col>
          <xdr:colOff>1924050</xdr:colOff>
          <xdr:row>52</xdr:row>
          <xdr:rowOff>219075</xdr:rowOff>
        </xdr:to>
        <xdr:sp macro="" textlink="">
          <xdr:nvSpPr>
            <xdr:cNvPr id="15402" name="Drop Down 42" hidden="1">
              <a:extLst>
                <a:ext uri="{63B3BB69-23CF-44E3-9099-C40C66FF867C}">
                  <a14:compatExt spid="_x0000_s15402"/>
                </a:ext>
                <a:ext uri="{FF2B5EF4-FFF2-40B4-BE49-F238E27FC236}">
                  <a16:creationId xmlns:a16="http://schemas.microsoft.com/office/drawing/2014/main" id="{00000000-0008-0000-1300-00002A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53</xdr:row>
          <xdr:rowOff>19050</xdr:rowOff>
        </xdr:from>
        <xdr:to>
          <xdr:col>1</xdr:col>
          <xdr:colOff>1924050</xdr:colOff>
          <xdr:row>53</xdr:row>
          <xdr:rowOff>219075</xdr:rowOff>
        </xdr:to>
        <xdr:sp macro="" textlink="">
          <xdr:nvSpPr>
            <xdr:cNvPr id="15403" name="Drop Down 43" hidden="1">
              <a:extLst>
                <a:ext uri="{63B3BB69-23CF-44E3-9099-C40C66FF867C}">
                  <a14:compatExt spid="_x0000_s15403"/>
                </a:ext>
                <a:ext uri="{FF2B5EF4-FFF2-40B4-BE49-F238E27FC236}">
                  <a16:creationId xmlns:a16="http://schemas.microsoft.com/office/drawing/2014/main" id="{00000000-0008-0000-1300-00002B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54</xdr:row>
          <xdr:rowOff>19050</xdr:rowOff>
        </xdr:from>
        <xdr:to>
          <xdr:col>1</xdr:col>
          <xdr:colOff>1924050</xdr:colOff>
          <xdr:row>54</xdr:row>
          <xdr:rowOff>219075</xdr:rowOff>
        </xdr:to>
        <xdr:sp macro="" textlink="">
          <xdr:nvSpPr>
            <xdr:cNvPr id="15404" name="Drop Down 44" hidden="1">
              <a:extLst>
                <a:ext uri="{63B3BB69-23CF-44E3-9099-C40C66FF867C}">
                  <a14:compatExt spid="_x0000_s15404"/>
                </a:ext>
                <a:ext uri="{FF2B5EF4-FFF2-40B4-BE49-F238E27FC236}">
                  <a16:creationId xmlns:a16="http://schemas.microsoft.com/office/drawing/2014/main" id="{00000000-0008-0000-1300-00002C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55</xdr:row>
          <xdr:rowOff>19050</xdr:rowOff>
        </xdr:from>
        <xdr:to>
          <xdr:col>1</xdr:col>
          <xdr:colOff>1924050</xdr:colOff>
          <xdr:row>55</xdr:row>
          <xdr:rowOff>219075</xdr:rowOff>
        </xdr:to>
        <xdr:sp macro="" textlink="">
          <xdr:nvSpPr>
            <xdr:cNvPr id="15405" name="Drop Down 45" hidden="1">
              <a:extLst>
                <a:ext uri="{63B3BB69-23CF-44E3-9099-C40C66FF867C}">
                  <a14:compatExt spid="_x0000_s15405"/>
                </a:ext>
                <a:ext uri="{FF2B5EF4-FFF2-40B4-BE49-F238E27FC236}">
                  <a16:creationId xmlns:a16="http://schemas.microsoft.com/office/drawing/2014/main" id="{00000000-0008-0000-1300-00002D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247650</xdr:colOff>
          <xdr:row>59</xdr:row>
          <xdr:rowOff>0</xdr:rowOff>
        </xdr:from>
        <xdr:to>
          <xdr:col>10</xdr:col>
          <xdr:colOff>476250</xdr:colOff>
          <xdr:row>59</xdr:row>
          <xdr:rowOff>190500</xdr:rowOff>
        </xdr:to>
        <xdr:sp macro="" textlink="">
          <xdr:nvSpPr>
            <xdr:cNvPr id="15406" name="Check Box 46" hidden="1">
              <a:extLst>
                <a:ext uri="{63B3BB69-23CF-44E3-9099-C40C66FF867C}">
                  <a14:compatExt spid="_x0000_s15406"/>
                </a:ext>
                <a:ext uri="{FF2B5EF4-FFF2-40B4-BE49-F238E27FC236}">
                  <a16:creationId xmlns:a16="http://schemas.microsoft.com/office/drawing/2014/main" id="{00000000-0008-0000-1300-00002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27.xml"/><Relationship Id="rId13" Type="http://schemas.openxmlformats.org/officeDocument/2006/relationships/ctrlProp" Target="../ctrlProps/ctrlProp32.xml"/><Relationship Id="rId18" Type="http://schemas.openxmlformats.org/officeDocument/2006/relationships/ctrlProp" Target="../ctrlProps/ctrlProp37.xml"/><Relationship Id="rId3" Type="http://schemas.openxmlformats.org/officeDocument/2006/relationships/vmlDrawing" Target="../drawings/vmlDrawing2.vml"/><Relationship Id="rId21" Type="http://schemas.openxmlformats.org/officeDocument/2006/relationships/ctrlProp" Target="../ctrlProps/ctrlProp40.xml"/><Relationship Id="rId7" Type="http://schemas.openxmlformats.org/officeDocument/2006/relationships/ctrlProp" Target="../ctrlProps/ctrlProp26.xml"/><Relationship Id="rId12" Type="http://schemas.openxmlformats.org/officeDocument/2006/relationships/ctrlProp" Target="../ctrlProps/ctrlProp31.xml"/><Relationship Id="rId17" Type="http://schemas.openxmlformats.org/officeDocument/2006/relationships/ctrlProp" Target="../ctrlProps/ctrlProp36.xml"/><Relationship Id="rId2" Type="http://schemas.openxmlformats.org/officeDocument/2006/relationships/drawing" Target="../drawings/drawing2.xml"/><Relationship Id="rId16" Type="http://schemas.openxmlformats.org/officeDocument/2006/relationships/ctrlProp" Target="../ctrlProps/ctrlProp35.xml"/><Relationship Id="rId20" Type="http://schemas.openxmlformats.org/officeDocument/2006/relationships/ctrlProp" Target="../ctrlProps/ctrlProp39.xml"/><Relationship Id="rId1" Type="http://schemas.openxmlformats.org/officeDocument/2006/relationships/printerSettings" Target="../printerSettings/printerSettings3.bin"/><Relationship Id="rId6" Type="http://schemas.openxmlformats.org/officeDocument/2006/relationships/ctrlProp" Target="../ctrlProps/ctrlProp25.xml"/><Relationship Id="rId11" Type="http://schemas.openxmlformats.org/officeDocument/2006/relationships/ctrlProp" Target="../ctrlProps/ctrlProp30.xml"/><Relationship Id="rId5" Type="http://schemas.openxmlformats.org/officeDocument/2006/relationships/ctrlProp" Target="../ctrlProps/ctrlProp24.xml"/><Relationship Id="rId15" Type="http://schemas.openxmlformats.org/officeDocument/2006/relationships/ctrlProp" Target="../ctrlProps/ctrlProp34.xml"/><Relationship Id="rId23" Type="http://schemas.openxmlformats.org/officeDocument/2006/relationships/ctrlProp" Target="../ctrlProps/ctrlProp42.xml"/><Relationship Id="rId10" Type="http://schemas.openxmlformats.org/officeDocument/2006/relationships/ctrlProp" Target="../ctrlProps/ctrlProp29.xml"/><Relationship Id="rId19" Type="http://schemas.openxmlformats.org/officeDocument/2006/relationships/ctrlProp" Target="../ctrlProps/ctrlProp38.xml"/><Relationship Id="rId4" Type="http://schemas.openxmlformats.org/officeDocument/2006/relationships/ctrlProp" Target="../ctrlProps/ctrlProp23.xml"/><Relationship Id="rId9" Type="http://schemas.openxmlformats.org/officeDocument/2006/relationships/ctrlProp" Target="../ctrlProps/ctrlProp28.xml"/><Relationship Id="rId14" Type="http://schemas.openxmlformats.org/officeDocument/2006/relationships/ctrlProp" Target="../ctrlProps/ctrlProp33.xml"/><Relationship Id="rId22" Type="http://schemas.openxmlformats.org/officeDocument/2006/relationships/ctrlProp" Target="../ctrlProps/ctrlProp4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3" Type="http://schemas.openxmlformats.org/officeDocument/2006/relationships/ctrlProp" Target="../ctrlProps/ctrlProp52.xml"/><Relationship Id="rId18" Type="http://schemas.openxmlformats.org/officeDocument/2006/relationships/ctrlProp" Target="../ctrlProps/ctrlProp57.xml"/><Relationship Id="rId26" Type="http://schemas.openxmlformats.org/officeDocument/2006/relationships/ctrlProp" Target="../ctrlProps/ctrlProp65.xml"/><Relationship Id="rId39" Type="http://schemas.openxmlformats.org/officeDocument/2006/relationships/ctrlProp" Target="../ctrlProps/ctrlProp78.xml"/><Relationship Id="rId21" Type="http://schemas.openxmlformats.org/officeDocument/2006/relationships/ctrlProp" Target="../ctrlProps/ctrlProp60.xml"/><Relationship Id="rId34" Type="http://schemas.openxmlformats.org/officeDocument/2006/relationships/ctrlProp" Target="../ctrlProps/ctrlProp73.xml"/><Relationship Id="rId42" Type="http://schemas.openxmlformats.org/officeDocument/2006/relationships/ctrlProp" Target="../ctrlProps/ctrlProp81.xml"/><Relationship Id="rId47" Type="http://schemas.openxmlformats.org/officeDocument/2006/relationships/ctrlProp" Target="../ctrlProps/ctrlProp86.xml"/><Relationship Id="rId7" Type="http://schemas.openxmlformats.org/officeDocument/2006/relationships/ctrlProp" Target="../ctrlProps/ctrlProp46.xml"/><Relationship Id="rId2" Type="http://schemas.openxmlformats.org/officeDocument/2006/relationships/drawing" Target="../drawings/drawing3.xml"/><Relationship Id="rId16" Type="http://schemas.openxmlformats.org/officeDocument/2006/relationships/ctrlProp" Target="../ctrlProps/ctrlProp55.xml"/><Relationship Id="rId29" Type="http://schemas.openxmlformats.org/officeDocument/2006/relationships/ctrlProp" Target="../ctrlProps/ctrlProp68.xml"/><Relationship Id="rId11" Type="http://schemas.openxmlformats.org/officeDocument/2006/relationships/ctrlProp" Target="../ctrlProps/ctrlProp50.xml"/><Relationship Id="rId24" Type="http://schemas.openxmlformats.org/officeDocument/2006/relationships/ctrlProp" Target="../ctrlProps/ctrlProp63.xml"/><Relationship Id="rId32" Type="http://schemas.openxmlformats.org/officeDocument/2006/relationships/ctrlProp" Target="../ctrlProps/ctrlProp71.xml"/><Relationship Id="rId37" Type="http://schemas.openxmlformats.org/officeDocument/2006/relationships/ctrlProp" Target="../ctrlProps/ctrlProp76.xml"/><Relationship Id="rId40" Type="http://schemas.openxmlformats.org/officeDocument/2006/relationships/ctrlProp" Target="../ctrlProps/ctrlProp79.xml"/><Relationship Id="rId45" Type="http://schemas.openxmlformats.org/officeDocument/2006/relationships/ctrlProp" Target="../ctrlProps/ctrlProp84.xml"/><Relationship Id="rId5" Type="http://schemas.openxmlformats.org/officeDocument/2006/relationships/ctrlProp" Target="../ctrlProps/ctrlProp44.xml"/><Relationship Id="rId15" Type="http://schemas.openxmlformats.org/officeDocument/2006/relationships/ctrlProp" Target="../ctrlProps/ctrlProp54.xml"/><Relationship Id="rId23" Type="http://schemas.openxmlformats.org/officeDocument/2006/relationships/ctrlProp" Target="../ctrlProps/ctrlProp62.xml"/><Relationship Id="rId28" Type="http://schemas.openxmlformats.org/officeDocument/2006/relationships/ctrlProp" Target="../ctrlProps/ctrlProp67.xml"/><Relationship Id="rId36" Type="http://schemas.openxmlformats.org/officeDocument/2006/relationships/ctrlProp" Target="../ctrlProps/ctrlProp75.xml"/><Relationship Id="rId49" Type="http://schemas.openxmlformats.org/officeDocument/2006/relationships/ctrlProp" Target="../ctrlProps/ctrlProp88.xml"/><Relationship Id="rId10" Type="http://schemas.openxmlformats.org/officeDocument/2006/relationships/ctrlProp" Target="../ctrlProps/ctrlProp49.xml"/><Relationship Id="rId19" Type="http://schemas.openxmlformats.org/officeDocument/2006/relationships/ctrlProp" Target="../ctrlProps/ctrlProp58.xml"/><Relationship Id="rId31" Type="http://schemas.openxmlformats.org/officeDocument/2006/relationships/ctrlProp" Target="../ctrlProps/ctrlProp70.xml"/><Relationship Id="rId44" Type="http://schemas.openxmlformats.org/officeDocument/2006/relationships/ctrlProp" Target="../ctrlProps/ctrlProp83.xml"/><Relationship Id="rId4" Type="http://schemas.openxmlformats.org/officeDocument/2006/relationships/ctrlProp" Target="../ctrlProps/ctrlProp43.xml"/><Relationship Id="rId9" Type="http://schemas.openxmlformats.org/officeDocument/2006/relationships/ctrlProp" Target="../ctrlProps/ctrlProp48.xml"/><Relationship Id="rId14" Type="http://schemas.openxmlformats.org/officeDocument/2006/relationships/ctrlProp" Target="../ctrlProps/ctrlProp53.xml"/><Relationship Id="rId22" Type="http://schemas.openxmlformats.org/officeDocument/2006/relationships/ctrlProp" Target="../ctrlProps/ctrlProp61.xml"/><Relationship Id="rId27" Type="http://schemas.openxmlformats.org/officeDocument/2006/relationships/ctrlProp" Target="../ctrlProps/ctrlProp66.xml"/><Relationship Id="rId30" Type="http://schemas.openxmlformats.org/officeDocument/2006/relationships/ctrlProp" Target="../ctrlProps/ctrlProp69.xml"/><Relationship Id="rId35" Type="http://schemas.openxmlformats.org/officeDocument/2006/relationships/ctrlProp" Target="../ctrlProps/ctrlProp74.xml"/><Relationship Id="rId43" Type="http://schemas.openxmlformats.org/officeDocument/2006/relationships/ctrlProp" Target="../ctrlProps/ctrlProp82.xml"/><Relationship Id="rId48" Type="http://schemas.openxmlformats.org/officeDocument/2006/relationships/ctrlProp" Target="../ctrlProps/ctrlProp87.xml"/><Relationship Id="rId8" Type="http://schemas.openxmlformats.org/officeDocument/2006/relationships/ctrlProp" Target="../ctrlProps/ctrlProp47.xml"/><Relationship Id="rId3" Type="http://schemas.openxmlformats.org/officeDocument/2006/relationships/vmlDrawing" Target="../drawings/vmlDrawing3.vml"/><Relationship Id="rId12" Type="http://schemas.openxmlformats.org/officeDocument/2006/relationships/ctrlProp" Target="../ctrlProps/ctrlProp51.xml"/><Relationship Id="rId17" Type="http://schemas.openxmlformats.org/officeDocument/2006/relationships/ctrlProp" Target="../ctrlProps/ctrlProp56.xml"/><Relationship Id="rId25" Type="http://schemas.openxmlformats.org/officeDocument/2006/relationships/ctrlProp" Target="../ctrlProps/ctrlProp64.xml"/><Relationship Id="rId33" Type="http://schemas.openxmlformats.org/officeDocument/2006/relationships/ctrlProp" Target="../ctrlProps/ctrlProp72.xml"/><Relationship Id="rId38" Type="http://schemas.openxmlformats.org/officeDocument/2006/relationships/ctrlProp" Target="../ctrlProps/ctrlProp77.xml"/><Relationship Id="rId46" Type="http://schemas.openxmlformats.org/officeDocument/2006/relationships/ctrlProp" Target="../ctrlProps/ctrlProp85.xml"/><Relationship Id="rId20" Type="http://schemas.openxmlformats.org/officeDocument/2006/relationships/ctrlProp" Target="../ctrlProps/ctrlProp59.xml"/><Relationship Id="rId41" Type="http://schemas.openxmlformats.org/officeDocument/2006/relationships/ctrlProp" Target="../ctrlProps/ctrlProp80.xml"/><Relationship Id="rId1" Type="http://schemas.openxmlformats.org/officeDocument/2006/relationships/printerSettings" Target="../printerSettings/printerSettings12.bin"/><Relationship Id="rId6" Type="http://schemas.openxmlformats.org/officeDocument/2006/relationships/ctrlProp" Target="../ctrlProps/ctrlProp45.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3" Type="http://schemas.openxmlformats.org/officeDocument/2006/relationships/ctrlProp" Target="../ctrlProps/ctrlProp98.xml"/><Relationship Id="rId18" Type="http://schemas.openxmlformats.org/officeDocument/2006/relationships/ctrlProp" Target="../ctrlProps/ctrlProp103.xml"/><Relationship Id="rId26" Type="http://schemas.openxmlformats.org/officeDocument/2006/relationships/ctrlProp" Target="../ctrlProps/ctrlProp111.xml"/><Relationship Id="rId39" Type="http://schemas.openxmlformats.org/officeDocument/2006/relationships/ctrlProp" Target="../ctrlProps/ctrlProp124.xml"/><Relationship Id="rId21" Type="http://schemas.openxmlformats.org/officeDocument/2006/relationships/ctrlProp" Target="../ctrlProps/ctrlProp106.xml"/><Relationship Id="rId34" Type="http://schemas.openxmlformats.org/officeDocument/2006/relationships/ctrlProp" Target="../ctrlProps/ctrlProp119.xml"/><Relationship Id="rId42" Type="http://schemas.openxmlformats.org/officeDocument/2006/relationships/ctrlProp" Target="../ctrlProps/ctrlProp127.xml"/><Relationship Id="rId47" Type="http://schemas.openxmlformats.org/officeDocument/2006/relationships/ctrlProp" Target="../ctrlProps/ctrlProp132.xml"/><Relationship Id="rId7" Type="http://schemas.openxmlformats.org/officeDocument/2006/relationships/ctrlProp" Target="../ctrlProps/ctrlProp92.xml"/><Relationship Id="rId2" Type="http://schemas.openxmlformats.org/officeDocument/2006/relationships/drawing" Target="../drawings/drawing4.xml"/><Relationship Id="rId16" Type="http://schemas.openxmlformats.org/officeDocument/2006/relationships/ctrlProp" Target="../ctrlProps/ctrlProp101.xml"/><Relationship Id="rId29" Type="http://schemas.openxmlformats.org/officeDocument/2006/relationships/ctrlProp" Target="../ctrlProps/ctrlProp114.xml"/><Relationship Id="rId11" Type="http://schemas.openxmlformats.org/officeDocument/2006/relationships/ctrlProp" Target="../ctrlProps/ctrlProp96.xml"/><Relationship Id="rId24" Type="http://schemas.openxmlformats.org/officeDocument/2006/relationships/ctrlProp" Target="../ctrlProps/ctrlProp109.xml"/><Relationship Id="rId32" Type="http://schemas.openxmlformats.org/officeDocument/2006/relationships/ctrlProp" Target="../ctrlProps/ctrlProp117.xml"/><Relationship Id="rId37" Type="http://schemas.openxmlformats.org/officeDocument/2006/relationships/ctrlProp" Target="../ctrlProps/ctrlProp122.xml"/><Relationship Id="rId40" Type="http://schemas.openxmlformats.org/officeDocument/2006/relationships/ctrlProp" Target="../ctrlProps/ctrlProp125.xml"/><Relationship Id="rId45" Type="http://schemas.openxmlformats.org/officeDocument/2006/relationships/ctrlProp" Target="../ctrlProps/ctrlProp130.xml"/><Relationship Id="rId5" Type="http://schemas.openxmlformats.org/officeDocument/2006/relationships/ctrlProp" Target="../ctrlProps/ctrlProp90.xml"/><Relationship Id="rId15" Type="http://schemas.openxmlformats.org/officeDocument/2006/relationships/ctrlProp" Target="../ctrlProps/ctrlProp100.xml"/><Relationship Id="rId23" Type="http://schemas.openxmlformats.org/officeDocument/2006/relationships/ctrlProp" Target="../ctrlProps/ctrlProp108.xml"/><Relationship Id="rId28" Type="http://schemas.openxmlformats.org/officeDocument/2006/relationships/ctrlProp" Target="../ctrlProps/ctrlProp113.xml"/><Relationship Id="rId36" Type="http://schemas.openxmlformats.org/officeDocument/2006/relationships/ctrlProp" Target="../ctrlProps/ctrlProp121.xml"/><Relationship Id="rId49" Type="http://schemas.openxmlformats.org/officeDocument/2006/relationships/ctrlProp" Target="../ctrlProps/ctrlProp134.xml"/><Relationship Id="rId10" Type="http://schemas.openxmlformats.org/officeDocument/2006/relationships/ctrlProp" Target="../ctrlProps/ctrlProp95.xml"/><Relationship Id="rId19" Type="http://schemas.openxmlformats.org/officeDocument/2006/relationships/ctrlProp" Target="../ctrlProps/ctrlProp104.xml"/><Relationship Id="rId31" Type="http://schemas.openxmlformats.org/officeDocument/2006/relationships/ctrlProp" Target="../ctrlProps/ctrlProp116.xml"/><Relationship Id="rId44" Type="http://schemas.openxmlformats.org/officeDocument/2006/relationships/ctrlProp" Target="../ctrlProps/ctrlProp129.xml"/><Relationship Id="rId4" Type="http://schemas.openxmlformats.org/officeDocument/2006/relationships/ctrlProp" Target="../ctrlProps/ctrlProp89.xml"/><Relationship Id="rId9" Type="http://schemas.openxmlformats.org/officeDocument/2006/relationships/ctrlProp" Target="../ctrlProps/ctrlProp94.xml"/><Relationship Id="rId14" Type="http://schemas.openxmlformats.org/officeDocument/2006/relationships/ctrlProp" Target="../ctrlProps/ctrlProp99.xml"/><Relationship Id="rId22" Type="http://schemas.openxmlformats.org/officeDocument/2006/relationships/ctrlProp" Target="../ctrlProps/ctrlProp107.xml"/><Relationship Id="rId27" Type="http://schemas.openxmlformats.org/officeDocument/2006/relationships/ctrlProp" Target="../ctrlProps/ctrlProp112.xml"/><Relationship Id="rId30" Type="http://schemas.openxmlformats.org/officeDocument/2006/relationships/ctrlProp" Target="../ctrlProps/ctrlProp115.xml"/><Relationship Id="rId35" Type="http://schemas.openxmlformats.org/officeDocument/2006/relationships/ctrlProp" Target="../ctrlProps/ctrlProp120.xml"/><Relationship Id="rId43" Type="http://schemas.openxmlformats.org/officeDocument/2006/relationships/ctrlProp" Target="../ctrlProps/ctrlProp128.xml"/><Relationship Id="rId48" Type="http://schemas.openxmlformats.org/officeDocument/2006/relationships/ctrlProp" Target="../ctrlProps/ctrlProp133.xml"/><Relationship Id="rId8" Type="http://schemas.openxmlformats.org/officeDocument/2006/relationships/ctrlProp" Target="../ctrlProps/ctrlProp93.xml"/><Relationship Id="rId3" Type="http://schemas.openxmlformats.org/officeDocument/2006/relationships/vmlDrawing" Target="../drawings/vmlDrawing4.vml"/><Relationship Id="rId12" Type="http://schemas.openxmlformats.org/officeDocument/2006/relationships/ctrlProp" Target="../ctrlProps/ctrlProp97.xml"/><Relationship Id="rId17" Type="http://schemas.openxmlformats.org/officeDocument/2006/relationships/ctrlProp" Target="../ctrlProps/ctrlProp102.xml"/><Relationship Id="rId25" Type="http://schemas.openxmlformats.org/officeDocument/2006/relationships/ctrlProp" Target="../ctrlProps/ctrlProp110.xml"/><Relationship Id="rId33" Type="http://schemas.openxmlformats.org/officeDocument/2006/relationships/ctrlProp" Target="../ctrlProps/ctrlProp118.xml"/><Relationship Id="rId38" Type="http://schemas.openxmlformats.org/officeDocument/2006/relationships/ctrlProp" Target="../ctrlProps/ctrlProp123.xml"/><Relationship Id="rId46" Type="http://schemas.openxmlformats.org/officeDocument/2006/relationships/ctrlProp" Target="../ctrlProps/ctrlProp131.xml"/><Relationship Id="rId20" Type="http://schemas.openxmlformats.org/officeDocument/2006/relationships/ctrlProp" Target="../ctrlProps/ctrlProp105.xml"/><Relationship Id="rId41" Type="http://schemas.openxmlformats.org/officeDocument/2006/relationships/ctrlProp" Target="../ctrlProps/ctrlProp126.xml"/><Relationship Id="rId1" Type="http://schemas.openxmlformats.org/officeDocument/2006/relationships/printerSettings" Target="../printerSettings/printerSettings14.bin"/><Relationship Id="rId6" Type="http://schemas.openxmlformats.org/officeDocument/2006/relationships/ctrlProp" Target="../ctrlProps/ctrlProp91.xml"/></Relationships>
</file>

<file path=xl/worksheets/_rels/sheet15.xml.rels><?xml version="1.0" encoding="UTF-8" standalone="yes"?>
<Relationships xmlns="http://schemas.openxmlformats.org/package/2006/relationships"><Relationship Id="rId13" Type="http://schemas.openxmlformats.org/officeDocument/2006/relationships/ctrlProp" Target="../ctrlProps/ctrlProp144.xml"/><Relationship Id="rId18" Type="http://schemas.openxmlformats.org/officeDocument/2006/relationships/ctrlProp" Target="../ctrlProps/ctrlProp149.xml"/><Relationship Id="rId26" Type="http://schemas.openxmlformats.org/officeDocument/2006/relationships/ctrlProp" Target="../ctrlProps/ctrlProp157.xml"/><Relationship Id="rId39" Type="http://schemas.openxmlformats.org/officeDocument/2006/relationships/ctrlProp" Target="../ctrlProps/ctrlProp170.xml"/><Relationship Id="rId21" Type="http://schemas.openxmlformats.org/officeDocument/2006/relationships/ctrlProp" Target="../ctrlProps/ctrlProp152.xml"/><Relationship Id="rId34" Type="http://schemas.openxmlformats.org/officeDocument/2006/relationships/ctrlProp" Target="../ctrlProps/ctrlProp165.xml"/><Relationship Id="rId42" Type="http://schemas.openxmlformats.org/officeDocument/2006/relationships/ctrlProp" Target="../ctrlProps/ctrlProp173.xml"/><Relationship Id="rId47" Type="http://schemas.openxmlformats.org/officeDocument/2006/relationships/ctrlProp" Target="../ctrlProps/ctrlProp178.xml"/><Relationship Id="rId7" Type="http://schemas.openxmlformats.org/officeDocument/2006/relationships/ctrlProp" Target="../ctrlProps/ctrlProp138.xml"/><Relationship Id="rId2" Type="http://schemas.openxmlformats.org/officeDocument/2006/relationships/drawing" Target="../drawings/drawing5.xml"/><Relationship Id="rId16" Type="http://schemas.openxmlformats.org/officeDocument/2006/relationships/ctrlProp" Target="../ctrlProps/ctrlProp147.xml"/><Relationship Id="rId29" Type="http://schemas.openxmlformats.org/officeDocument/2006/relationships/ctrlProp" Target="../ctrlProps/ctrlProp160.xml"/><Relationship Id="rId11" Type="http://schemas.openxmlformats.org/officeDocument/2006/relationships/ctrlProp" Target="../ctrlProps/ctrlProp142.xml"/><Relationship Id="rId24" Type="http://schemas.openxmlformats.org/officeDocument/2006/relationships/ctrlProp" Target="../ctrlProps/ctrlProp155.xml"/><Relationship Id="rId32" Type="http://schemas.openxmlformats.org/officeDocument/2006/relationships/ctrlProp" Target="../ctrlProps/ctrlProp163.xml"/><Relationship Id="rId37" Type="http://schemas.openxmlformats.org/officeDocument/2006/relationships/ctrlProp" Target="../ctrlProps/ctrlProp168.xml"/><Relationship Id="rId40" Type="http://schemas.openxmlformats.org/officeDocument/2006/relationships/ctrlProp" Target="../ctrlProps/ctrlProp171.xml"/><Relationship Id="rId45" Type="http://schemas.openxmlformats.org/officeDocument/2006/relationships/ctrlProp" Target="../ctrlProps/ctrlProp176.xml"/><Relationship Id="rId5" Type="http://schemas.openxmlformats.org/officeDocument/2006/relationships/ctrlProp" Target="../ctrlProps/ctrlProp136.xml"/><Relationship Id="rId15" Type="http://schemas.openxmlformats.org/officeDocument/2006/relationships/ctrlProp" Target="../ctrlProps/ctrlProp146.xml"/><Relationship Id="rId23" Type="http://schemas.openxmlformats.org/officeDocument/2006/relationships/ctrlProp" Target="../ctrlProps/ctrlProp154.xml"/><Relationship Id="rId28" Type="http://schemas.openxmlformats.org/officeDocument/2006/relationships/ctrlProp" Target="../ctrlProps/ctrlProp159.xml"/><Relationship Id="rId36" Type="http://schemas.openxmlformats.org/officeDocument/2006/relationships/ctrlProp" Target="../ctrlProps/ctrlProp167.xml"/><Relationship Id="rId49" Type="http://schemas.openxmlformats.org/officeDocument/2006/relationships/ctrlProp" Target="../ctrlProps/ctrlProp180.xml"/><Relationship Id="rId10" Type="http://schemas.openxmlformats.org/officeDocument/2006/relationships/ctrlProp" Target="../ctrlProps/ctrlProp141.xml"/><Relationship Id="rId19" Type="http://schemas.openxmlformats.org/officeDocument/2006/relationships/ctrlProp" Target="../ctrlProps/ctrlProp150.xml"/><Relationship Id="rId31" Type="http://schemas.openxmlformats.org/officeDocument/2006/relationships/ctrlProp" Target="../ctrlProps/ctrlProp162.xml"/><Relationship Id="rId44" Type="http://schemas.openxmlformats.org/officeDocument/2006/relationships/ctrlProp" Target="../ctrlProps/ctrlProp175.xml"/><Relationship Id="rId4" Type="http://schemas.openxmlformats.org/officeDocument/2006/relationships/ctrlProp" Target="../ctrlProps/ctrlProp135.xml"/><Relationship Id="rId9" Type="http://schemas.openxmlformats.org/officeDocument/2006/relationships/ctrlProp" Target="../ctrlProps/ctrlProp140.xml"/><Relationship Id="rId14" Type="http://schemas.openxmlformats.org/officeDocument/2006/relationships/ctrlProp" Target="../ctrlProps/ctrlProp145.xml"/><Relationship Id="rId22" Type="http://schemas.openxmlformats.org/officeDocument/2006/relationships/ctrlProp" Target="../ctrlProps/ctrlProp153.xml"/><Relationship Id="rId27" Type="http://schemas.openxmlformats.org/officeDocument/2006/relationships/ctrlProp" Target="../ctrlProps/ctrlProp158.xml"/><Relationship Id="rId30" Type="http://schemas.openxmlformats.org/officeDocument/2006/relationships/ctrlProp" Target="../ctrlProps/ctrlProp161.xml"/><Relationship Id="rId35" Type="http://schemas.openxmlformats.org/officeDocument/2006/relationships/ctrlProp" Target="../ctrlProps/ctrlProp166.xml"/><Relationship Id="rId43" Type="http://schemas.openxmlformats.org/officeDocument/2006/relationships/ctrlProp" Target="../ctrlProps/ctrlProp174.xml"/><Relationship Id="rId48" Type="http://schemas.openxmlformats.org/officeDocument/2006/relationships/ctrlProp" Target="../ctrlProps/ctrlProp179.xml"/><Relationship Id="rId8" Type="http://schemas.openxmlformats.org/officeDocument/2006/relationships/ctrlProp" Target="../ctrlProps/ctrlProp139.xml"/><Relationship Id="rId3" Type="http://schemas.openxmlformats.org/officeDocument/2006/relationships/vmlDrawing" Target="../drawings/vmlDrawing5.vml"/><Relationship Id="rId12" Type="http://schemas.openxmlformats.org/officeDocument/2006/relationships/ctrlProp" Target="../ctrlProps/ctrlProp143.xml"/><Relationship Id="rId17" Type="http://schemas.openxmlformats.org/officeDocument/2006/relationships/ctrlProp" Target="../ctrlProps/ctrlProp148.xml"/><Relationship Id="rId25" Type="http://schemas.openxmlformats.org/officeDocument/2006/relationships/ctrlProp" Target="../ctrlProps/ctrlProp156.xml"/><Relationship Id="rId33" Type="http://schemas.openxmlformats.org/officeDocument/2006/relationships/ctrlProp" Target="../ctrlProps/ctrlProp164.xml"/><Relationship Id="rId38" Type="http://schemas.openxmlformats.org/officeDocument/2006/relationships/ctrlProp" Target="../ctrlProps/ctrlProp169.xml"/><Relationship Id="rId46" Type="http://schemas.openxmlformats.org/officeDocument/2006/relationships/ctrlProp" Target="../ctrlProps/ctrlProp177.xml"/><Relationship Id="rId20" Type="http://schemas.openxmlformats.org/officeDocument/2006/relationships/ctrlProp" Target="../ctrlProps/ctrlProp151.xml"/><Relationship Id="rId41" Type="http://schemas.openxmlformats.org/officeDocument/2006/relationships/ctrlProp" Target="../ctrlProps/ctrlProp172.xml"/><Relationship Id="rId1" Type="http://schemas.openxmlformats.org/officeDocument/2006/relationships/printerSettings" Target="../printerSettings/printerSettings15.bin"/><Relationship Id="rId6" Type="http://schemas.openxmlformats.org/officeDocument/2006/relationships/ctrlProp" Target="../ctrlProps/ctrlProp137.xml"/></Relationships>
</file>

<file path=xl/worksheets/_rels/sheet16.xml.rels><?xml version="1.0" encoding="UTF-8" standalone="yes"?>
<Relationships xmlns="http://schemas.openxmlformats.org/package/2006/relationships"><Relationship Id="rId13" Type="http://schemas.openxmlformats.org/officeDocument/2006/relationships/ctrlProp" Target="../ctrlProps/ctrlProp190.xml"/><Relationship Id="rId18" Type="http://schemas.openxmlformats.org/officeDocument/2006/relationships/ctrlProp" Target="../ctrlProps/ctrlProp195.xml"/><Relationship Id="rId26" Type="http://schemas.openxmlformats.org/officeDocument/2006/relationships/ctrlProp" Target="../ctrlProps/ctrlProp203.xml"/><Relationship Id="rId39" Type="http://schemas.openxmlformats.org/officeDocument/2006/relationships/ctrlProp" Target="../ctrlProps/ctrlProp216.xml"/><Relationship Id="rId21" Type="http://schemas.openxmlformats.org/officeDocument/2006/relationships/ctrlProp" Target="../ctrlProps/ctrlProp198.xml"/><Relationship Id="rId34" Type="http://schemas.openxmlformats.org/officeDocument/2006/relationships/ctrlProp" Target="../ctrlProps/ctrlProp211.xml"/><Relationship Id="rId42" Type="http://schemas.openxmlformats.org/officeDocument/2006/relationships/ctrlProp" Target="../ctrlProps/ctrlProp219.xml"/><Relationship Id="rId47" Type="http://schemas.openxmlformats.org/officeDocument/2006/relationships/ctrlProp" Target="../ctrlProps/ctrlProp224.xml"/><Relationship Id="rId7" Type="http://schemas.openxmlformats.org/officeDocument/2006/relationships/ctrlProp" Target="../ctrlProps/ctrlProp184.xml"/><Relationship Id="rId2" Type="http://schemas.openxmlformats.org/officeDocument/2006/relationships/drawing" Target="../drawings/drawing6.xml"/><Relationship Id="rId16" Type="http://schemas.openxmlformats.org/officeDocument/2006/relationships/ctrlProp" Target="../ctrlProps/ctrlProp193.xml"/><Relationship Id="rId29" Type="http://schemas.openxmlformats.org/officeDocument/2006/relationships/ctrlProp" Target="../ctrlProps/ctrlProp206.xml"/><Relationship Id="rId11" Type="http://schemas.openxmlformats.org/officeDocument/2006/relationships/ctrlProp" Target="../ctrlProps/ctrlProp188.xml"/><Relationship Id="rId24" Type="http://schemas.openxmlformats.org/officeDocument/2006/relationships/ctrlProp" Target="../ctrlProps/ctrlProp201.xml"/><Relationship Id="rId32" Type="http://schemas.openxmlformats.org/officeDocument/2006/relationships/ctrlProp" Target="../ctrlProps/ctrlProp209.xml"/><Relationship Id="rId37" Type="http://schemas.openxmlformats.org/officeDocument/2006/relationships/ctrlProp" Target="../ctrlProps/ctrlProp214.xml"/><Relationship Id="rId40" Type="http://schemas.openxmlformats.org/officeDocument/2006/relationships/ctrlProp" Target="../ctrlProps/ctrlProp217.xml"/><Relationship Id="rId45" Type="http://schemas.openxmlformats.org/officeDocument/2006/relationships/ctrlProp" Target="../ctrlProps/ctrlProp222.xml"/><Relationship Id="rId5" Type="http://schemas.openxmlformats.org/officeDocument/2006/relationships/ctrlProp" Target="../ctrlProps/ctrlProp182.xml"/><Relationship Id="rId15" Type="http://schemas.openxmlformats.org/officeDocument/2006/relationships/ctrlProp" Target="../ctrlProps/ctrlProp192.xml"/><Relationship Id="rId23" Type="http://schemas.openxmlformats.org/officeDocument/2006/relationships/ctrlProp" Target="../ctrlProps/ctrlProp200.xml"/><Relationship Id="rId28" Type="http://schemas.openxmlformats.org/officeDocument/2006/relationships/ctrlProp" Target="../ctrlProps/ctrlProp205.xml"/><Relationship Id="rId36" Type="http://schemas.openxmlformats.org/officeDocument/2006/relationships/ctrlProp" Target="../ctrlProps/ctrlProp213.xml"/><Relationship Id="rId49" Type="http://schemas.openxmlformats.org/officeDocument/2006/relationships/ctrlProp" Target="../ctrlProps/ctrlProp226.xml"/><Relationship Id="rId10" Type="http://schemas.openxmlformats.org/officeDocument/2006/relationships/ctrlProp" Target="../ctrlProps/ctrlProp187.xml"/><Relationship Id="rId19" Type="http://schemas.openxmlformats.org/officeDocument/2006/relationships/ctrlProp" Target="../ctrlProps/ctrlProp196.xml"/><Relationship Id="rId31" Type="http://schemas.openxmlformats.org/officeDocument/2006/relationships/ctrlProp" Target="../ctrlProps/ctrlProp208.xml"/><Relationship Id="rId44" Type="http://schemas.openxmlformats.org/officeDocument/2006/relationships/ctrlProp" Target="../ctrlProps/ctrlProp221.xml"/><Relationship Id="rId4" Type="http://schemas.openxmlformats.org/officeDocument/2006/relationships/ctrlProp" Target="../ctrlProps/ctrlProp181.xml"/><Relationship Id="rId9" Type="http://schemas.openxmlformats.org/officeDocument/2006/relationships/ctrlProp" Target="../ctrlProps/ctrlProp186.xml"/><Relationship Id="rId14" Type="http://schemas.openxmlformats.org/officeDocument/2006/relationships/ctrlProp" Target="../ctrlProps/ctrlProp191.xml"/><Relationship Id="rId22" Type="http://schemas.openxmlformats.org/officeDocument/2006/relationships/ctrlProp" Target="../ctrlProps/ctrlProp199.xml"/><Relationship Id="rId27" Type="http://schemas.openxmlformats.org/officeDocument/2006/relationships/ctrlProp" Target="../ctrlProps/ctrlProp204.xml"/><Relationship Id="rId30" Type="http://schemas.openxmlformats.org/officeDocument/2006/relationships/ctrlProp" Target="../ctrlProps/ctrlProp207.xml"/><Relationship Id="rId35" Type="http://schemas.openxmlformats.org/officeDocument/2006/relationships/ctrlProp" Target="../ctrlProps/ctrlProp212.xml"/><Relationship Id="rId43" Type="http://schemas.openxmlformats.org/officeDocument/2006/relationships/ctrlProp" Target="../ctrlProps/ctrlProp220.xml"/><Relationship Id="rId48" Type="http://schemas.openxmlformats.org/officeDocument/2006/relationships/ctrlProp" Target="../ctrlProps/ctrlProp225.xml"/><Relationship Id="rId8" Type="http://schemas.openxmlformats.org/officeDocument/2006/relationships/ctrlProp" Target="../ctrlProps/ctrlProp185.xml"/><Relationship Id="rId3" Type="http://schemas.openxmlformats.org/officeDocument/2006/relationships/vmlDrawing" Target="../drawings/vmlDrawing6.vml"/><Relationship Id="rId12" Type="http://schemas.openxmlformats.org/officeDocument/2006/relationships/ctrlProp" Target="../ctrlProps/ctrlProp189.xml"/><Relationship Id="rId17" Type="http://schemas.openxmlformats.org/officeDocument/2006/relationships/ctrlProp" Target="../ctrlProps/ctrlProp194.xml"/><Relationship Id="rId25" Type="http://schemas.openxmlformats.org/officeDocument/2006/relationships/ctrlProp" Target="../ctrlProps/ctrlProp202.xml"/><Relationship Id="rId33" Type="http://schemas.openxmlformats.org/officeDocument/2006/relationships/ctrlProp" Target="../ctrlProps/ctrlProp210.xml"/><Relationship Id="rId38" Type="http://schemas.openxmlformats.org/officeDocument/2006/relationships/ctrlProp" Target="../ctrlProps/ctrlProp215.xml"/><Relationship Id="rId46" Type="http://schemas.openxmlformats.org/officeDocument/2006/relationships/ctrlProp" Target="../ctrlProps/ctrlProp223.xml"/><Relationship Id="rId20" Type="http://schemas.openxmlformats.org/officeDocument/2006/relationships/ctrlProp" Target="../ctrlProps/ctrlProp197.xml"/><Relationship Id="rId41" Type="http://schemas.openxmlformats.org/officeDocument/2006/relationships/ctrlProp" Target="../ctrlProps/ctrlProp218.xml"/><Relationship Id="rId1" Type="http://schemas.openxmlformats.org/officeDocument/2006/relationships/printerSettings" Target="../printerSettings/printerSettings16.bin"/><Relationship Id="rId6" Type="http://schemas.openxmlformats.org/officeDocument/2006/relationships/ctrlProp" Target="../ctrlProps/ctrlProp183.xml"/></Relationships>
</file>

<file path=xl/worksheets/_rels/sheet17.xml.rels><?xml version="1.0" encoding="UTF-8" standalone="yes"?>
<Relationships xmlns="http://schemas.openxmlformats.org/package/2006/relationships"><Relationship Id="rId13" Type="http://schemas.openxmlformats.org/officeDocument/2006/relationships/ctrlProp" Target="../ctrlProps/ctrlProp236.xml"/><Relationship Id="rId18" Type="http://schemas.openxmlformats.org/officeDocument/2006/relationships/ctrlProp" Target="../ctrlProps/ctrlProp241.xml"/><Relationship Id="rId26" Type="http://schemas.openxmlformats.org/officeDocument/2006/relationships/ctrlProp" Target="../ctrlProps/ctrlProp249.xml"/><Relationship Id="rId39" Type="http://schemas.openxmlformats.org/officeDocument/2006/relationships/ctrlProp" Target="../ctrlProps/ctrlProp262.xml"/><Relationship Id="rId21" Type="http://schemas.openxmlformats.org/officeDocument/2006/relationships/ctrlProp" Target="../ctrlProps/ctrlProp244.xml"/><Relationship Id="rId34" Type="http://schemas.openxmlformats.org/officeDocument/2006/relationships/ctrlProp" Target="../ctrlProps/ctrlProp257.xml"/><Relationship Id="rId42" Type="http://schemas.openxmlformats.org/officeDocument/2006/relationships/ctrlProp" Target="../ctrlProps/ctrlProp265.xml"/><Relationship Id="rId47" Type="http://schemas.openxmlformats.org/officeDocument/2006/relationships/ctrlProp" Target="../ctrlProps/ctrlProp270.xml"/><Relationship Id="rId7" Type="http://schemas.openxmlformats.org/officeDocument/2006/relationships/ctrlProp" Target="../ctrlProps/ctrlProp230.xml"/><Relationship Id="rId2" Type="http://schemas.openxmlformats.org/officeDocument/2006/relationships/drawing" Target="../drawings/drawing7.xml"/><Relationship Id="rId16" Type="http://schemas.openxmlformats.org/officeDocument/2006/relationships/ctrlProp" Target="../ctrlProps/ctrlProp239.xml"/><Relationship Id="rId29" Type="http://schemas.openxmlformats.org/officeDocument/2006/relationships/ctrlProp" Target="../ctrlProps/ctrlProp252.xml"/><Relationship Id="rId11" Type="http://schemas.openxmlformats.org/officeDocument/2006/relationships/ctrlProp" Target="../ctrlProps/ctrlProp234.xml"/><Relationship Id="rId24" Type="http://schemas.openxmlformats.org/officeDocument/2006/relationships/ctrlProp" Target="../ctrlProps/ctrlProp247.xml"/><Relationship Id="rId32" Type="http://schemas.openxmlformats.org/officeDocument/2006/relationships/ctrlProp" Target="../ctrlProps/ctrlProp255.xml"/><Relationship Id="rId37" Type="http://schemas.openxmlformats.org/officeDocument/2006/relationships/ctrlProp" Target="../ctrlProps/ctrlProp260.xml"/><Relationship Id="rId40" Type="http://schemas.openxmlformats.org/officeDocument/2006/relationships/ctrlProp" Target="../ctrlProps/ctrlProp263.xml"/><Relationship Id="rId45" Type="http://schemas.openxmlformats.org/officeDocument/2006/relationships/ctrlProp" Target="../ctrlProps/ctrlProp268.xml"/><Relationship Id="rId5" Type="http://schemas.openxmlformats.org/officeDocument/2006/relationships/ctrlProp" Target="../ctrlProps/ctrlProp228.xml"/><Relationship Id="rId15" Type="http://schemas.openxmlformats.org/officeDocument/2006/relationships/ctrlProp" Target="../ctrlProps/ctrlProp238.xml"/><Relationship Id="rId23" Type="http://schemas.openxmlformats.org/officeDocument/2006/relationships/ctrlProp" Target="../ctrlProps/ctrlProp246.xml"/><Relationship Id="rId28" Type="http://schemas.openxmlformats.org/officeDocument/2006/relationships/ctrlProp" Target="../ctrlProps/ctrlProp251.xml"/><Relationship Id="rId36" Type="http://schemas.openxmlformats.org/officeDocument/2006/relationships/ctrlProp" Target="../ctrlProps/ctrlProp259.xml"/><Relationship Id="rId49" Type="http://schemas.openxmlformats.org/officeDocument/2006/relationships/ctrlProp" Target="../ctrlProps/ctrlProp272.xml"/><Relationship Id="rId10" Type="http://schemas.openxmlformats.org/officeDocument/2006/relationships/ctrlProp" Target="../ctrlProps/ctrlProp233.xml"/><Relationship Id="rId19" Type="http://schemas.openxmlformats.org/officeDocument/2006/relationships/ctrlProp" Target="../ctrlProps/ctrlProp242.xml"/><Relationship Id="rId31" Type="http://schemas.openxmlformats.org/officeDocument/2006/relationships/ctrlProp" Target="../ctrlProps/ctrlProp254.xml"/><Relationship Id="rId44" Type="http://schemas.openxmlformats.org/officeDocument/2006/relationships/ctrlProp" Target="../ctrlProps/ctrlProp267.xml"/><Relationship Id="rId4" Type="http://schemas.openxmlformats.org/officeDocument/2006/relationships/ctrlProp" Target="../ctrlProps/ctrlProp227.xml"/><Relationship Id="rId9" Type="http://schemas.openxmlformats.org/officeDocument/2006/relationships/ctrlProp" Target="../ctrlProps/ctrlProp232.xml"/><Relationship Id="rId14" Type="http://schemas.openxmlformats.org/officeDocument/2006/relationships/ctrlProp" Target="../ctrlProps/ctrlProp237.xml"/><Relationship Id="rId22" Type="http://schemas.openxmlformats.org/officeDocument/2006/relationships/ctrlProp" Target="../ctrlProps/ctrlProp245.xml"/><Relationship Id="rId27" Type="http://schemas.openxmlformats.org/officeDocument/2006/relationships/ctrlProp" Target="../ctrlProps/ctrlProp250.xml"/><Relationship Id="rId30" Type="http://schemas.openxmlformats.org/officeDocument/2006/relationships/ctrlProp" Target="../ctrlProps/ctrlProp253.xml"/><Relationship Id="rId35" Type="http://schemas.openxmlformats.org/officeDocument/2006/relationships/ctrlProp" Target="../ctrlProps/ctrlProp258.xml"/><Relationship Id="rId43" Type="http://schemas.openxmlformats.org/officeDocument/2006/relationships/ctrlProp" Target="../ctrlProps/ctrlProp266.xml"/><Relationship Id="rId48" Type="http://schemas.openxmlformats.org/officeDocument/2006/relationships/ctrlProp" Target="../ctrlProps/ctrlProp271.xml"/><Relationship Id="rId8" Type="http://schemas.openxmlformats.org/officeDocument/2006/relationships/ctrlProp" Target="../ctrlProps/ctrlProp231.xml"/><Relationship Id="rId3" Type="http://schemas.openxmlformats.org/officeDocument/2006/relationships/vmlDrawing" Target="../drawings/vmlDrawing7.vml"/><Relationship Id="rId12" Type="http://schemas.openxmlformats.org/officeDocument/2006/relationships/ctrlProp" Target="../ctrlProps/ctrlProp235.xml"/><Relationship Id="rId17" Type="http://schemas.openxmlformats.org/officeDocument/2006/relationships/ctrlProp" Target="../ctrlProps/ctrlProp240.xml"/><Relationship Id="rId25" Type="http://schemas.openxmlformats.org/officeDocument/2006/relationships/ctrlProp" Target="../ctrlProps/ctrlProp248.xml"/><Relationship Id="rId33" Type="http://schemas.openxmlformats.org/officeDocument/2006/relationships/ctrlProp" Target="../ctrlProps/ctrlProp256.xml"/><Relationship Id="rId38" Type="http://schemas.openxmlformats.org/officeDocument/2006/relationships/ctrlProp" Target="../ctrlProps/ctrlProp261.xml"/><Relationship Id="rId46" Type="http://schemas.openxmlformats.org/officeDocument/2006/relationships/ctrlProp" Target="../ctrlProps/ctrlProp269.xml"/><Relationship Id="rId20" Type="http://schemas.openxmlformats.org/officeDocument/2006/relationships/ctrlProp" Target="../ctrlProps/ctrlProp243.xml"/><Relationship Id="rId41" Type="http://schemas.openxmlformats.org/officeDocument/2006/relationships/ctrlProp" Target="../ctrlProps/ctrlProp264.xml"/><Relationship Id="rId1" Type="http://schemas.openxmlformats.org/officeDocument/2006/relationships/printerSettings" Target="../printerSettings/printerSettings17.bin"/><Relationship Id="rId6" Type="http://schemas.openxmlformats.org/officeDocument/2006/relationships/ctrlProp" Target="../ctrlProps/ctrlProp229.xml"/></Relationships>
</file>

<file path=xl/worksheets/_rels/sheet18.xml.rels><?xml version="1.0" encoding="UTF-8" standalone="yes"?>
<Relationships xmlns="http://schemas.openxmlformats.org/package/2006/relationships"><Relationship Id="rId13" Type="http://schemas.openxmlformats.org/officeDocument/2006/relationships/ctrlProp" Target="../ctrlProps/ctrlProp282.xml"/><Relationship Id="rId18" Type="http://schemas.openxmlformats.org/officeDocument/2006/relationships/ctrlProp" Target="../ctrlProps/ctrlProp287.xml"/><Relationship Id="rId26" Type="http://schemas.openxmlformats.org/officeDocument/2006/relationships/ctrlProp" Target="../ctrlProps/ctrlProp295.xml"/><Relationship Id="rId39" Type="http://schemas.openxmlformats.org/officeDocument/2006/relationships/ctrlProp" Target="../ctrlProps/ctrlProp308.xml"/><Relationship Id="rId21" Type="http://schemas.openxmlformats.org/officeDocument/2006/relationships/ctrlProp" Target="../ctrlProps/ctrlProp290.xml"/><Relationship Id="rId34" Type="http://schemas.openxmlformats.org/officeDocument/2006/relationships/ctrlProp" Target="../ctrlProps/ctrlProp303.xml"/><Relationship Id="rId42" Type="http://schemas.openxmlformats.org/officeDocument/2006/relationships/ctrlProp" Target="../ctrlProps/ctrlProp311.xml"/><Relationship Id="rId47" Type="http://schemas.openxmlformats.org/officeDocument/2006/relationships/ctrlProp" Target="../ctrlProps/ctrlProp316.xml"/><Relationship Id="rId7" Type="http://schemas.openxmlformats.org/officeDocument/2006/relationships/ctrlProp" Target="../ctrlProps/ctrlProp276.xml"/><Relationship Id="rId2" Type="http://schemas.openxmlformats.org/officeDocument/2006/relationships/drawing" Target="../drawings/drawing8.xml"/><Relationship Id="rId16" Type="http://schemas.openxmlformats.org/officeDocument/2006/relationships/ctrlProp" Target="../ctrlProps/ctrlProp285.xml"/><Relationship Id="rId29" Type="http://schemas.openxmlformats.org/officeDocument/2006/relationships/ctrlProp" Target="../ctrlProps/ctrlProp298.xml"/><Relationship Id="rId11" Type="http://schemas.openxmlformats.org/officeDocument/2006/relationships/ctrlProp" Target="../ctrlProps/ctrlProp280.xml"/><Relationship Id="rId24" Type="http://schemas.openxmlformats.org/officeDocument/2006/relationships/ctrlProp" Target="../ctrlProps/ctrlProp293.xml"/><Relationship Id="rId32" Type="http://schemas.openxmlformats.org/officeDocument/2006/relationships/ctrlProp" Target="../ctrlProps/ctrlProp301.xml"/><Relationship Id="rId37" Type="http://schemas.openxmlformats.org/officeDocument/2006/relationships/ctrlProp" Target="../ctrlProps/ctrlProp306.xml"/><Relationship Id="rId40" Type="http://schemas.openxmlformats.org/officeDocument/2006/relationships/ctrlProp" Target="../ctrlProps/ctrlProp309.xml"/><Relationship Id="rId45" Type="http://schemas.openxmlformats.org/officeDocument/2006/relationships/ctrlProp" Target="../ctrlProps/ctrlProp314.xml"/><Relationship Id="rId5" Type="http://schemas.openxmlformats.org/officeDocument/2006/relationships/ctrlProp" Target="../ctrlProps/ctrlProp274.xml"/><Relationship Id="rId15" Type="http://schemas.openxmlformats.org/officeDocument/2006/relationships/ctrlProp" Target="../ctrlProps/ctrlProp284.xml"/><Relationship Id="rId23" Type="http://schemas.openxmlformats.org/officeDocument/2006/relationships/ctrlProp" Target="../ctrlProps/ctrlProp292.xml"/><Relationship Id="rId28" Type="http://schemas.openxmlformats.org/officeDocument/2006/relationships/ctrlProp" Target="../ctrlProps/ctrlProp297.xml"/><Relationship Id="rId36" Type="http://schemas.openxmlformats.org/officeDocument/2006/relationships/ctrlProp" Target="../ctrlProps/ctrlProp305.xml"/><Relationship Id="rId49" Type="http://schemas.openxmlformats.org/officeDocument/2006/relationships/ctrlProp" Target="../ctrlProps/ctrlProp318.xml"/><Relationship Id="rId10" Type="http://schemas.openxmlformats.org/officeDocument/2006/relationships/ctrlProp" Target="../ctrlProps/ctrlProp279.xml"/><Relationship Id="rId19" Type="http://schemas.openxmlformats.org/officeDocument/2006/relationships/ctrlProp" Target="../ctrlProps/ctrlProp288.xml"/><Relationship Id="rId31" Type="http://schemas.openxmlformats.org/officeDocument/2006/relationships/ctrlProp" Target="../ctrlProps/ctrlProp300.xml"/><Relationship Id="rId44" Type="http://schemas.openxmlformats.org/officeDocument/2006/relationships/ctrlProp" Target="../ctrlProps/ctrlProp313.xml"/><Relationship Id="rId4" Type="http://schemas.openxmlformats.org/officeDocument/2006/relationships/ctrlProp" Target="../ctrlProps/ctrlProp273.xml"/><Relationship Id="rId9" Type="http://schemas.openxmlformats.org/officeDocument/2006/relationships/ctrlProp" Target="../ctrlProps/ctrlProp278.xml"/><Relationship Id="rId14" Type="http://schemas.openxmlformats.org/officeDocument/2006/relationships/ctrlProp" Target="../ctrlProps/ctrlProp283.xml"/><Relationship Id="rId22" Type="http://schemas.openxmlformats.org/officeDocument/2006/relationships/ctrlProp" Target="../ctrlProps/ctrlProp291.xml"/><Relationship Id="rId27" Type="http://schemas.openxmlformats.org/officeDocument/2006/relationships/ctrlProp" Target="../ctrlProps/ctrlProp296.xml"/><Relationship Id="rId30" Type="http://schemas.openxmlformats.org/officeDocument/2006/relationships/ctrlProp" Target="../ctrlProps/ctrlProp299.xml"/><Relationship Id="rId35" Type="http://schemas.openxmlformats.org/officeDocument/2006/relationships/ctrlProp" Target="../ctrlProps/ctrlProp304.xml"/><Relationship Id="rId43" Type="http://schemas.openxmlformats.org/officeDocument/2006/relationships/ctrlProp" Target="../ctrlProps/ctrlProp312.xml"/><Relationship Id="rId48" Type="http://schemas.openxmlformats.org/officeDocument/2006/relationships/ctrlProp" Target="../ctrlProps/ctrlProp317.xml"/><Relationship Id="rId8" Type="http://schemas.openxmlformats.org/officeDocument/2006/relationships/ctrlProp" Target="../ctrlProps/ctrlProp277.xml"/><Relationship Id="rId3" Type="http://schemas.openxmlformats.org/officeDocument/2006/relationships/vmlDrawing" Target="../drawings/vmlDrawing8.vml"/><Relationship Id="rId12" Type="http://schemas.openxmlformats.org/officeDocument/2006/relationships/ctrlProp" Target="../ctrlProps/ctrlProp281.xml"/><Relationship Id="rId17" Type="http://schemas.openxmlformats.org/officeDocument/2006/relationships/ctrlProp" Target="../ctrlProps/ctrlProp286.xml"/><Relationship Id="rId25" Type="http://schemas.openxmlformats.org/officeDocument/2006/relationships/ctrlProp" Target="../ctrlProps/ctrlProp294.xml"/><Relationship Id="rId33" Type="http://schemas.openxmlformats.org/officeDocument/2006/relationships/ctrlProp" Target="../ctrlProps/ctrlProp302.xml"/><Relationship Id="rId38" Type="http://schemas.openxmlformats.org/officeDocument/2006/relationships/ctrlProp" Target="../ctrlProps/ctrlProp307.xml"/><Relationship Id="rId46" Type="http://schemas.openxmlformats.org/officeDocument/2006/relationships/ctrlProp" Target="../ctrlProps/ctrlProp315.xml"/><Relationship Id="rId20" Type="http://schemas.openxmlformats.org/officeDocument/2006/relationships/ctrlProp" Target="../ctrlProps/ctrlProp289.xml"/><Relationship Id="rId41" Type="http://schemas.openxmlformats.org/officeDocument/2006/relationships/ctrlProp" Target="../ctrlProps/ctrlProp310.xml"/><Relationship Id="rId1" Type="http://schemas.openxmlformats.org/officeDocument/2006/relationships/printerSettings" Target="../printerSettings/printerSettings18.bin"/><Relationship Id="rId6" Type="http://schemas.openxmlformats.org/officeDocument/2006/relationships/ctrlProp" Target="../ctrlProps/ctrlProp275.xml"/></Relationships>
</file>

<file path=xl/worksheets/_rels/sheet19.xml.rels><?xml version="1.0" encoding="UTF-8" standalone="yes"?>
<Relationships xmlns="http://schemas.openxmlformats.org/package/2006/relationships"><Relationship Id="rId13" Type="http://schemas.openxmlformats.org/officeDocument/2006/relationships/ctrlProp" Target="../ctrlProps/ctrlProp328.xml"/><Relationship Id="rId18" Type="http://schemas.openxmlformats.org/officeDocument/2006/relationships/ctrlProp" Target="../ctrlProps/ctrlProp333.xml"/><Relationship Id="rId26" Type="http://schemas.openxmlformats.org/officeDocument/2006/relationships/ctrlProp" Target="../ctrlProps/ctrlProp341.xml"/><Relationship Id="rId39" Type="http://schemas.openxmlformats.org/officeDocument/2006/relationships/ctrlProp" Target="../ctrlProps/ctrlProp354.xml"/><Relationship Id="rId21" Type="http://schemas.openxmlformats.org/officeDocument/2006/relationships/ctrlProp" Target="../ctrlProps/ctrlProp336.xml"/><Relationship Id="rId34" Type="http://schemas.openxmlformats.org/officeDocument/2006/relationships/ctrlProp" Target="../ctrlProps/ctrlProp349.xml"/><Relationship Id="rId42" Type="http://schemas.openxmlformats.org/officeDocument/2006/relationships/ctrlProp" Target="../ctrlProps/ctrlProp357.xml"/><Relationship Id="rId47" Type="http://schemas.openxmlformats.org/officeDocument/2006/relationships/ctrlProp" Target="../ctrlProps/ctrlProp362.xml"/><Relationship Id="rId7" Type="http://schemas.openxmlformats.org/officeDocument/2006/relationships/ctrlProp" Target="../ctrlProps/ctrlProp322.xml"/><Relationship Id="rId2" Type="http://schemas.openxmlformats.org/officeDocument/2006/relationships/drawing" Target="../drawings/drawing9.xml"/><Relationship Id="rId16" Type="http://schemas.openxmlformats.org/officeDocument/2006/relationships/ctrlProp" Target="../ctrlProps/ctrlProp331.xml"/><Relationship Id="rId29" Type="http://schemas.openxmlformats.org/officeDocument/2006/relationships/ctrlProp" Target="../ctrlProps/ctrlProp344.xml"/><Relationship Id="rId11" Type="http://schemas.openxmlformats.org/officeDocument/2006/relationships/ctrlProp" Target="../ctrlProps/ctrlProp326.xml"/><Relationship Id="rId24" Type="http://schemas.openxmlformats.org/officeDocument/2006/relationships/ctrlProp" Target="../ctrlProps/ctrlProp339.xml"/><Relationship Id="rId32" Type="http://schemas.openxmlformats.org/officeDocument/2006/relationships/ctrlProp" Target="../ctrlProps/ctrlProp347.xml"/><Relationship Id="rId37" Type="http://schemas.openxmlformats.org/officeDocument/2006/relationships/ctrlProp" Target="../ctrlProps/ctrlProp352.xml"/><Relationship Id="rId40" Type="http://schemas.openxmlformats.org/officeDocument/2006/relationships/ctrlProp" Target="../ctrlProps/ctrlProp355.xml"/><Relationship Id="rId45" Type="http://schemas.openxmlformats.org/officeDocument/2006/relationships/ctrlProp" Target="../ctrlProps/ctrlProp360.xml"/><Relationship Id="rId5" Type="http://schemas.openxmlformats.org/officeDocument/2006/relationships/ctrlProp" Target="../ctrlProps/ctrlProp320.xml"/><Relationship Id="rId15" Type="http://schemas.openxmlformats.org/officeDocument/2006/relationships/ctrlProp" Target="../ctrlProps/ctrlProp330.xml"/><Relationship Id="rId23" Type="http://schemas.openxmlformats.org/officeDocument/2006/relationships/ctrlProp" Target="../ctrlProps/ctrlProp338.xml"/><Relationship Id="rId28" Type="http://schemas.openxmlformats.org/officeDocument/2006/relationships/ctrlProp" Target="../ctrlProps/ctrlProp343.xml"/><Relationship Id="rId36" Type="http://schemas.openxmlformats.org/officeDocument/2006/relationships/ctrlProp" Target="../ctrlProps/ctrlProp351.xml"/><Relationship Id="rId49" Type="http://schemas.openxmlformats.org/officeDocument/2006/relationships/ctrlProp" Target="../ctrlProps/ctrlProp364.xml"/><Relationship Id="rId10" Type="http://schemas.openxmlformats.org/officeDocument/2006/relationships/ctrlProp" Target="../ctrlProps/ctrlProp325.xml"/><Relationship Id="rId19" Type="http://schemas.openxmlformats.org/officeDocument/2006/relationships/ctrlProp" Target="../ctrlProps/ctrlProp334.xml"/><Relationship Id="rId31" Type="http://schemas.openxmlformats.org/officeDocument/2006/relationships/ctrlProp" Target="../ctrlProps/ctrlProp346.xml"/><Relationship Id="rId44" Type="http://schemas.openxmlformats.org/officeDocument/2006/relationships/ctrlProp" Target="../ctrlProps/ctrlProp359.xml"/><Relationship Id="rId4" Type="http://schemas.openxmlformats.org/officeDocument/2006/relationships/ctrlProp" Target="../ctrlProps/ctrlProp319.xml"/><Relationship Id="rId9" Type="http://schemas.openxmlformats.org/officeDocument/2006/relationships/ctrlProp" Target="../ctrlProps/ctrlProp324.xml"/><Relationship Id="rId14" Type="http://schemas.openxmlformats.org/officeDocument/2006/relationships/ctrlProp" Target="../ctrlProps/ctrlProp329.xml"/><Relationship Id="rId22" Type="http://schemas.openxmlformats.org/officeDocument/2006/relationships/ctrlProp" Target="../ctrlProps/ctrlProp337.xml"/><Relationship Id="rId27" Type="http://schemas.openxmlformats.org/officeDocument/2006/relationships/ctrlProp" Target="../ctrlProps/ctrlProp342.xml"/><Relationship Id="rId30" Type="http://schemas.openxmlformats.org/officeDocument/2006/relationships/ctrlProp" Target="../ctrlProps/ctrlProp345.xml"/><Relationship Id="rId35" Type="http://schemas.openxmlformats.org/officeDocument/2006/relationships/ctrlProp" Target="../ctrlProps/ctrlProp350.xml"/><Relationship Id="rId43" Type="http://schemas.openxmlformats.org/officeDocument/2006/relationships/ctrlProp" Target="../ctrlProps/ctrlProp358.xml"/><Relationship Id="rId48" Type="http://schemas.openxmlformats.org/officeDocument/2006/relationships/ctrlProp" Target="../ctrlProps/ctrlProp363.xml"/><Relationship Id="rId8" Type="http://schemas.openxmlformats.org/officeDocument/2006/relationships/ctrlProp" Target="../ctrlProps/ctrlProp323.xml"/><Relationship Id="rId3" Type="http://schemas.openxmlformats.org/officeDocument/2006/relationships/vmlDrawing" Target="../drawings/vmlDrawing9.vml"/><Relationship Id="rId12" Type="http://schemas.openxmlformats.org/officeDocument/2006/relationships/ctrlProp" Target="../ctrlProps/ctrlProp327.xml"/><Relationship Id="rId17" Type="http://schemas.openxmlformats.org/officeDocument/2006/relationships/ctrlProp" Target="../ctrlProps/ctrlProp332.xml"/><Relationship Id="rId25" Type="http://schemas.openxmlformats.org/officeDocument/2006/relationships/ctrlProp" Target="../ctrlProps/ctrlProp340.xml"/><Relationship Id="rId33" Type="http://schemas.openxmlformats.org/officeDocument/2006/relationships/ctrlProp" Target="../ctrlProps/ctrlProp348.xml"/><Relationship Id="rId38" Type="http://schemas.openxmlformats.org/officeDocument/2006/relationships/ctrlProp" Target="../ctrlProps/ctrlProp353.xml"/><Relationship Id="rId46" Type="http://schemas.openxmlformats.org/officeDocument/2006/relationships/ctrlProp" Target="../ctrlProps/ctrlProp361.xml"/><Relationship Id="rId20" Type="http://schemas.openxmlformats.org/officeDocument/2006/relationships/ctrlProp" Target="../ctrlProps/ctrlProp335.xml"/><Relationship Id="rId41" Type="http://schemas.openxmlformats.org/officeDocument/2006/relationships/ctrlProp" Target="../ctrlProps/ctrlProp356.xml"/><Relationship Id="rId1" Type="http://schemas.openxmlformats.org/officeDocument/2006/relationships/printerSettings" Target="../printerSettings/printerSettings19.bin"/><Relationship Id="rId6" Type="http://schemas.openxmlformats.org/officeDocument/2006/relationships/ctrlProp" Target="../ctrlProps/ctrlProp321.xml"/></Relationships>
</file>

<file path=xl/worksheets/_rels/sheet20.xml.rels><?xml version="1.0" encoding="UTF-8" standalone="yes"?>
<Relationships xmlns="http://schemas.openxmlformats.org/package/2006/relationships"><Relationship Id="rId13" Type="http://schemas.openxmlformats.org/officeDocument/2006/relationships/ctrlProp" Target="../ctrlProps/ctrlProp374.xml"/><Relationship Id="rId18" Type="http://schemas.openxmlformats.org/officeDocument/2006/relationships/ctrlProp" Target="../ctrlProps/ctrlProp379.xml"/><Relationship Id="rId26" Type="http://schemas.openxmlformats.org/officeDocument/2006/relationships/ctrlProp" Target="../ctrlProps/ctrlProp387.xml"/><Relationship Id="rId39" Type="http://schemas.openxmlformats.org/officeDocument/2006/relationships/ctrlProp" Target="../ctrlProps/ctrlProp400.xml"/><Relationship Id="rId21" Type="http://schemas.openxmlformats.org/officeDocument/2006/relationships/ctrlProp" Target="../ctrlProps/ctrlProp382.xml"/><Relationship Id="rId34" Type="http://schemas.openxmlformats.org/officeDocument/2006/relationships/ctrlProp" Target="../ctrlProps/ctrlProp395.xml"/><Relationship Id="rId42" Type="http://schemas.openxmlformats.org/officeDocument/2006/relationships/ctrlProp" Target="../ctrlProps/ctrlProp403.xml"/><Relationship Id="rId47" Type="http://schemas.openxmlformats.org/officeDocument/2006/relationships/ctrlProp" Target="../ctrlProps/ctrlProp408.xml"/><Relationship Id="rId7" Type="http://schemas.openxmlformats.org/officeDocument/2006/relationships/ctrlProp" Target="../ctrlProps/ctrlProp368.xml"/><Relationship Id="rId2" Type="http://schemas.openxmlformats.org/officeDocument/2006/relationships/drawing" Target="../drawings/drawing10.xml"/><Relationship Id="rId16" Type="http://schemas.openxmlformats.org/officeDocument/2006/relationships/ctrlProp" Target="../ctrlProps/ctrlProp377.xml"/><Relationship Id="rId29" Type="http://schemas.openxmlformats.org/officeDocument/2006/relationships/ctrlProp" Target="../ctrlProps/ctrlProp390.xml"/><Relationship Id="rId11" Type="http://schemas.openxmlformats.org/officeDocument/2006/relationships/ctrlProp" Target="../ctrlProps/ctrlProp372.xml"/><Relationship Id="rId24" Type="http://schemas.openxmlformats.org/officeDocument/2006/relationships/ctrlProp" Target="../ctrlProps/ctrlProp385.xml"/><Relationship Id="rId32" Type="http://schemas.openxmlformats.org/officeDocument/2006/relationships/ctrlProp" Target="../ctrlProps/ctrlProp393.xml"/><Relationship Id="rId37" Type="http://schemas.openxmlformats.org/officeDocument/2006/relationships/ctrlProp" Target="../ctrlProps/ctrlProp398.xml"/><Relationship Id="rId40" Type="http://schemas.openxmlformats.org/officeDocument/2006/relationships/ctrlProp" Target="../ctrlProps/ctrlProp401.xml"/><Relationship Id="rId45" Type="http://schemas.openxmlformats.org/officeDocument/2006/relationships/ctrlProp" Target="../ctrlProps/ctrlProp406.xml"/><Relationship Id="rId5" Type="http://schemas.openxmlformats.org/officeDocument/2006/relationships/ctrlProp" Target="../ctrlProps/ctrlProp366.xml"/><Relationship Id="rId15" Type="http://schemas.openxmlformats.org/officeDocument/2006/relationships/ctrlProp" Target="../ctrlProps/ctrlProp376.xml"/><Relationship Id="rId23" Type="http://schemas.openxmlformats.org/officeDocument/2006/relationships/ctrlProp" Target="../ctrlProps/ctrlProp384.xml"/><Relationship Id="rId28" Type="http://schemas.openxmlformats.org/officeDocument/2006/relationships/ctrlProp" Target="../ctrlProps/ctrlProp389.xml"/><Relationship Id="rId36" Type="http://schemas.openxmlformats.org/officeDocument/2006/relationships/ctrlProp" Target="../ctrlProps/ctrlProp397.xml"/><Relationship Id="rId49" Type="http://schemas.openxmlformats.org/officeDocument/2006/relationships/ctrlProp" Target="../ctrlProps/ctrlProp410.xml"/><Relationship Id="rId10" Type="http://schemas.openxmlformats.org/officeDocument/2006/relationships/ctrlProp" Target="../ctrlProps/ctrlProp371.xml"/><Relationship Id="rId19" Type="http://schemas.openxmlformats.org/officeDocument/2006/relationships/ctrlProp" Target="../ctrlProps/ctrlProp380.xml"/><Relationship Id="rId31" Type="http://schemas.openxmlformats.org/officeDocument/2006/relationships/ctrlProp" Target="../ctrlProps/ctrlProp392.xml"/><Relationship Id="rId44" Type="http://schemas.openxmlformats.org/officeDocument/2006/relationships/ctrlProp" Target="../ctrlProps/ctrlProp405.xml"/><Relationship Id="rId4" Type="http://schemas.openxmlformats.org/officeDocument/2006/relationships/ctrlProp" Target="../ctrlProps/ctrlProp365.xml"/><Relationship Id="rId9" Type="http://schemas.openxmlformats.org/officeDocument/2006/relationships/ctrlProp" Target="../ctrlProps/ctrlProp370.xml"/><Relationship Id="rId14" Type="http://schemas.openxmlformats.org/officeDocument/2006/relationships/ctrlProp" Target="../ctrlProps/ctrlProp375.xml"/><Relationship Id="rId22" Type="http://schemas.openxmlformats.org/officeDocument/2006/relationships/ctrlProp" Target="../ctrlProps/ctrlProp383.xml"/><Relationship Id="rId27" Type="http://schemas.openxmlformats.org/officeDocument/2006/relationships/ctrlProp" Target="../ctrlProps/ctrlProp388.xml"/><Relationship Id="rId30" Type="http://schemas.openxmlformats.org/officeDocument/2006/relationships/ctrlProp" Target="../ctrlProps/ctrlProp391.xml"/><Relationship Id="rId35" Type="http://schemas.openxmlformats.org/officeDocument/2006/relationships/ctrlProp" Target="../ctrlProps/ctrlProp396.xml"/><Relationship Id="rId43" Type="http://schemas.openxmlformats.org/officeDocument/2006/relationships/ctrlProp" Target="../ctrlProps/ctrlProp404.xml"/><Relationship Id="rId48" Type="http://schemas.openxmlformats.org/officeDocument/2006/relationships/ctrlProp" Target="../ctrlProps/ctrlProp409.xml"/><Relationship Id="rId8" Type="http://schemas.openxmlformats.org/officeDocument/2006/relationships/ctrlProp" Target="../ctrlProps/ctrlProp369.xml"/><Relationship Id="rId3" Type="http://schemas.openxmlformats.org/officeDocument/2006/relationships/vmlDrawing" Target="../drawings/vmlDrawing10.vml"/><Relationship Id="rId12" Type="http://schemas.openxmlformats.org/officeDocument/2006/relationships/ctrlProp" Target="../ctrlProps/ctrlProp373.xml"/><Relationship Id="rId17" Type="http://schemas.openxmlformats.org/officeDocument/2006/relationships/ctrlProp" Target="../ctrlProps/ctrlProp378.xml"/><Relationship Id="rId25" Type="http://schemas.openxmlformats.org/officeDocument/2006/relationships/ctrlProp" Target="../ctrlProps/ctrlProp386.xml"/><Relationship Id="rId33" Type="http://schemas.openxmlformats.org/officeDocument/2006/relationships/ctrlProp" Target="../ctrlProps/ctrlProp394.xml"/><Relationship Id="rId38" Type="http://schemas.openxmlformats.org/officeDocument/2006/relationships/ctrlProp" Target="../ctrlProps/ctrlProp399.xml"/><Relationship Id="rId46" Type="http://schemas.openxmlformats.org/officeDocument/2006/relationships/ctrlProp" Target="../ctrlProps/ctrlProp407.xml"/><Relationship Id="rId20" Type="http://schemas.openxmlformats.org/officeDocument/2006/relationships/ctrlProp" Target="../ctrlProps/ctrlProp381.xml"/><Relationship Id="rId41" Type="http://schemas.openxmlformats.org/officeDocument/2006/relationships/ctrlProp" Target="../ctrlProps/ctrlProp402.xml"/><Relationship Id="rId1" Type="http://schemas.openxmlformats.org/officeDocument/2006/relationships/printerSettings" Target="../printerSettings/printerSettings20.bin"/><Relationship Id="rId6" Type="http://schemas.openxmlformats.org/officeDocument/2006/relationships/ctrlProp" Target="../ctrlProps/ctrlProp367.xml"/></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J53"/>
  <sheetViews>
    <sheetView showGridLines="0" tabSelected="1" workbookViewId="0"/>
  </sheetViews>
  <sheetFormatPr defaultRowHeight="12.75" x14ac:dyDescent="0.2"/>
  <cols>
    <col min="10" max="10" width="13" customWidth="1"/>
  </cols>
  <sheetData>
    <row r="1" spans="1:10" x14ac:dyDescent="0.2">
      <c r="A1" s="1" t="str">
        <f>CONCATENATE("Version: ",'Complete This Page'!J1)</f>
        <v>Version: NPAC v2018.0</v>
      </c>
    </row>
    <row r="2" spans="1:10" ht="20.25" x14ac:dyDescent="0.3">
      <c r="C2" s="969" t="s">
        <v>159</v>
      </c>
      <c r="D2" s="969"/>
      <c r="E2" s="969"/>
      <c r="F2" s="969"/>
      <c r="G2" s="969"/>
      <c r="H2" s="969"/>
    </row>
    <row r="3" spans="1:10" ht="20.25" x14ac:dyDescent="0.3">
      <c r="C3" s="970" t="s">
        <v>160</v>
      </c>
      <c r="D3" s="970"/>
      <c r="E3" s="970"/>
      <c r="F3" s="970"/>
      <c r="G3" s="970"/>
      <c r="H3" s="970"/>
    </row>
    <row r="4" spans="1:10" ht="20.25" x14ac:dyDescent="0.3">
      <c r="C4" s="970" t="s">
        <v>161</v>
      </c>
      <c r="D4" s="970"/>
      <c r="E4" s="970"/>
      <c r="F4" s="970"/>
      <c r="G4" s="970"/>
      <c r="H4" s="970"/>
    </row>
    <row r="5" spans="1:10" s="7" customFormat="1" ht="8.25" x14ac:dyDescent="0.15"/>
    <row r="6" spans="1:10" x14ac:dyDescent="0.2">
      <c r="B6" s="11" t="s">
        <v>162</v>
      </c>
    </row>
    <row r="7" spans="1:10" s="1" customFormat="1" ht="21.95" customHeight="1" x14ac:dyDescent="0.2">
      <c r="B7" s="971" t="s">
        <v>1645</v>
      </c>
      <c r="C7" s="971"/>
      <c r="D7" s="971"/>
      <c r="E7" s="971"/>
      <c r="F7" s="971"/>
      <c r="G7" s="971"/>
      <c r="H7" s="971"/>
      <c r="I7" s="971"/>
      <c r="J7" s="971"/>
    </row>
    <row r="8" spans="1:10" s="7" customFormat="1" ht="8.25" x14ac:dyDescent="0.15">
      <c r="B8" s="196"/>
      <c r="C8" s="196"/>
      <c r="D8" s="196"/>
      <c r="E8" s="196"/>
      <c r="F8" s="196"/>
      <c r="G8" s="196"/>
      <c r="H8" s="196"/>
      <c r="I8" s="196"/>
    </row>
    <row r="9" spans="1:10" s="1" customFormat="1" ht="21.95" customHeight="1" x14ac:dyDescent="0.2">
      <c r="B9" s="973" t="s">
        <v>1592</v>
      </c>
      <c r="C9" s="971"/>
      <c r="D9" s="971"/>
      <c r="E9" s="971"/>
      <c r="F9" s="971"/>
      <c r="G9" s="971"/>
      <c r="H9" s="971"/>
      <c r="I9" s="971"/>
      <c r="J9" s="971"/>
    </row>
    <row r="10" spans="1:10" s="7" customFormat="1" ht="8.25" x14ac:dyDescent="0.15">
      <c r="B10" s="196"/>
      <c r="C10" s="196"/>
      <c r="D10" s="196"/>
      <c r="E10" s="196"/>
      <c r="F10" s="196"/>
      <c r="G10" s="196"/>
      <c r="H10" s="196"/>
      <c r="I10" s="196"/>
    </row>
    <row r="11" spans="1:10" x14ac:dyDescent="0.2">
      <c r="B11" s="11" t="s">
        <v>163</v>
      </c>
    </row>
    <row r="12" spans="1:10" s="10" customFormat="1" ht="35.1" customHeight="1" x14ac:dyDescent="0.2">
      <c r="B12" s="971" t="s">
        <v>1591</v>
      </c>
      <c r="C12" s="977"/>
      <c r="D12" s="977"/>
      <c r="E12" s="977"/>
      <c r="F12" s="977"/>
      <c r="G12" s="977"/>
      <c r="H12" s="977"/>
      <c r="I12" s="977"/>
      <c r="J12" s="977"/>
    </row>
    <row r="13" spans="1:10" s="73" customFormat="1" ht="8.25" x14ac:dyDescent="0.15"/>
    <row r="14" spans="1:10" s="10" customFormat="1" x14ac:dyDescent="0.2">
      <c r="A14" s="198" t="s">
        <v>464</v>
      </c>
      <c r="B14" s="11" t="s">
        <v>511</v>
      </c>
    </row>
    <row r="15" spans="1:10" s="10" customFormat="1" ht="21.95" customHeight="1" x14ac:dyDescent="0.2">
      <c r="B15" s="971" t="s">
        <v>293</v>
      </c>
      <c r="C15" s="971"/>
      <c r="D15" s="971"/>
      <c r="E15" s="971"/>
      <c r="F15" s="971"/>
      <c r="G15" s="971"/>
      <c r="H15" s="971"/>
      <c r="I15" s="971"/>
      <c r="J15" s="971"/>
    </row>
    <row r="16" spans="1:10" s="73" customFormat="1" ht="8.25" x14ac:dyDescent="0.15"/>
    <row r="17" spans="1:10" s="10" customFormat="1" x14ac:dyDescent="0.2">
      <c r="B17" s="11" t="s">
        <v>189</v>
      </c>
    </row>
    <row r="18" spans="1:10" s="1" customFormat="1" ht="11.25" x14ac:dyDescent="0.2">
      <c r="B18" s="974" t="s">
        <v>260</v>
      </c>
      <c r="C18" s="974"/>
      <c r="D18" s="974"/>
      <c r="E18" s="974"/>
      <c r="F18" s="974"/>
      <c r="G18" s="974"/>
      <c r="H18" s="974"/>
      <c r="I18" s="974"/>
      <c r="J18" s="974"/>
    </row>
    <row r="19" spans="1:10" s="1" customFormat="1" ht="11.25" x14ac:dyDescent="0.2">
      <c r="B19" s="83" t="s">
        <v>1121</v>
      </c>
      <c r="C19" s="1" t="s">
        <v>190</v>
      </c>
    </row>
    <row r="20" spans="1:10" s="1" customFormat="1" ht="11.25" x14ac:dyDescent="0.2">
      <c r="A20" s="198" t="s">
        <v>464</v>
      </c>
      <c r="B20" s="83" t="s">
        <v>1121</v>
      </c>
      <c r="C20" s="1" t="s">
        <v>191</v>
      </c>
    </row>
    <row r="21" spans="1:10" s="1" customFormat="1" ht="11.25" x14ac:dyDescent="0.2">
      <c r="B21" s="83" t="s">
        <v>1121</v>
      </c>
      <c r="C21" s="1" t="s">
        <v>192</v>
      </c>
    </row>
    <row r="22" spans="1:10" s="1" customFormat="1" ht="11.25" x14ac:dyDescent="0.2">
      <c r="B22" s="83" t="s">
        <v>1121</v>
      </c>
      <c r="C22" s="1" t="s">
        <v>193</v>
      </c>
    </row>
    <row r="23" spans="1:10" s="1" customFormat="1" ht="11.25" x14ac:dyDescent="0.2">
      <c r="B23" s="83" t="s">
        <v>1121</v>
      </c>
      <c r="C23" s="1" t="s">
        <v>194</v>
      </c>
    </row>
    <row r="24" spans="1:10" s="1" customFormat="1" ht="11.25" x14ac:dyDescent="0.2">
      <c r="B24" s="83" t="s">
        <v>1121</v>
      </c>
      <c r="C24" s="1" t="s">
        <v>655</v>
      </c>
    </row>
    <row r="25" spans="1:10" s="1" customFormat="1" ht="11.25" x14ac:dyDescent="0.2">
      <c r="B25" s="83" t="s">
        <v>1121</v>
      </c>
      <c r="C25" s="1" t="s">
        <v>771</v>
      </c>
    </row>
    <row r="26" spans="1:10" s="1" customFormat="1" ht="11.25" x14ac:dyDescent="0.2">
      <c r="A26" s="198" t="s">
        <v>464</v>
      </c>
      <c r="B26" s="83" t="s">
        <v>1121</v>
      </c>
      <c r="C26" s="1" t="s">
        <v>772</v>
      </c>
    </row>
    <row r="27" spans="1:10" s="1" customFormat="1" ht="11.25" x14ac:dyDescent="0.2">
      <c r="B27" s="83" t="s">
        <v>1121</v>
      </c>
      <c r="C27" s="1" t="s">
        <v>294</v>
      </c>
    </row>
    <row r="28" spans="1:10" s="1" customFormat="1" ht="11.25" x14ac:dyDescent="0.2">
      <c r="B28" s="83" t="s">
        <v>1121</v>
      </c>
      <c r="C28" s="1" t="s">
        <v>773</v>
      </c>
    </row>
    <row r="29" spans="1:10" s="1" customFormat="1" ht="11.25" x14ac:dyDescent="0.2">
      <c r="B29" s="83" t="s">
        <v>1121</v>
      </c>
      <c r="C29" s="1" t="s">
        <v>1641</v>
      </c>
    </row>
    <row r="30" spans="1:10" s="1" customFormat="1" ht="21.95" customHeight="1" x14ac:dyDescent="0.2">
      <c r="B30" s="197" t="s">
        <v>1121</v>
      </c>
      <c r="C30" s="975" t="s">
        <v>65</v>
      </c>
      <c r="D30" s="975"/>
      <c r="E30" s="975"/>
      <c r="F30" s="975"/>
      <c r="G30" s="975"/>
      <c r="H30" s="975"/>
      <c r="I30" s="975"/>
      <c r="J30" s="975"/>
    </row>
    <row r="31" spans="1:10" s="1" customFormat="1" ht="11.25" x14ac:dyDescent="0.2">
      <c r="A31" s="198" t="s">
        <v>464</v>
      </c>
      <c r="B31" s="83"/>
      <c r="C31" s="195" t="s">
        <v>259</v>
      </c>
    </row>
    <row r="32" spans="1:10" s="1" customFormat="1" ht="11.25" x14ac:dyDescent="0.2">
      <c r="B32" s="83"/>
      <c r="C32" s="195" t="s">
        <v>258</v>
      </c>
    </row>
    <row r="33" spans="1:10" s="7" customFormat="1" ht="8.25" x14ac:dyDescent="0.15"/>
    <row r="34" spans="1:10" s="1" customFormat="1" ht="11.25" x14ac:dyDescent="0.2">
      <c r="B34" s="976" t="s">
        <v>261</v>
      </c>
      <c r="C34" s="976"/>
      <c r="D34" s="976"/>
      <c r="E34" s="976"/>
      <c r="F34" s="976"/>
      <c r="G34" s="976"/>
      <c r="H34" s="976"/>
      <c r="I34" s="976"/>
      <c r="J34" s="976"/>
    </row>
    <row r="35" spans="1:10" s="1" customFormat="1" ht="11.25" x14ac:dyDescent="0.2">
      <c r="B35" s="83" t="s">
        <v>1121</v>
      </c>
      <c r="C35" s="1" t="s">
        <v>262</v>
      </c>
    </row>
    <row r="36" spans="1:10" s="1" customFormat="1" ht="11.25" x14ac:dyDescent="0.2">
      <c r="A36" s="198" t="s">
        <v>464</v>
      </c>
      <c r="B36" s="83" t="s">
        <v>1121</v>
      </c>
      <c r="C36" s="1" t="s">
        <v>263</v>
      </c>
    </row>
    <row r="37" spans="1:10" s="1" customFormat="1" ht="11.25" x14ac:dyDescent="0.2">
      <c r="B37" s="83" t="s">
        <v>1121</v>
      </c>
      <c r="C37" s="1" t="s">
        <v>1646</v>
      </c>
    </row>
    <row r="38" spans="1:10" s="1" customFormat="1" ht="11.25" x14ac:dyDescent="0.2">
      <c r="B38" s="83" t="s">
        <v>1121</v>
      </c>
      <c r="C38" s="1" t="s">
        <v>769</v>
      </c>
    </row>
    <row r="39" spans="1:10" s="1" customFormat="1" ht="11.25" x14ac:dyDescent="0.2">
      <c r="B39" s="83" t="s">
        <v>1121</v>
      </c>
      <c r="C39" s="1" t="s">
        <v>264</v>
      </c>
    </row>
    <row r="40" spans="1:10" s="1" customFormat="1" ht="11.25" x14ac:dyDescent="0.2">
      <c r="B40" s="83" t="s">
        <v>1121</v>
      </c>
      <c r="C40" s="1" t="s">
        <v>265</v>
      </c>
    </row>
    <row r="41" spans="1:10" s="1" customFormat="1" ht="11.25" x14ac:dyDescent="0.2"/>
    <row r="42" spans="1:10" s="1" customFormat="1" x14ac:dyDescent="0.2">
      <c r="B42" s="11" t="s">
        <v>397</v>
      </c>
    </row>
    <row r="43" spans="1:10" s="1" customFormat="1" ht="57.6" customHeight="1" x14ac:dyDescent="0.2">
      <c r="B43" s="971" t="s">
        <v>1593</v>
      </c>
      <c r="C43" s="971"/>
      <c r="D43" s="971"/>
      <c r="E43" s="971"/>
      <c r="F43" s="971"/>
      <c r="G43" s="971"/>
      <c r="H43" s="971"/>
      <c r="I43" s="971"/>
      <c r="J43" s="971"/>
    </row>
    <row r="44" spans="1:10" s="1" customFormat="1" ht="11.25" x14ac:dyDescent="0.2"/>
    <row r="45" spans="1:10" s="1" customFormat="1" ht="24" customHeight="1" x14ac:dyDescent="0.2">
      <c r="B45" s="971" t="s">
        <v>449</v>
      </c>
      <c r="C45" s="971"/>
      <c r="D45" s="971"/>
      <c r="E45" s="971"/>
      <c r="F45" s="971"/>
      <c r="G45" s="971"/>
      <c r="H45" s="971"/>
      <c r="I45" s="971"/>
      <c r="J45" s="971"/>
    </row>
    <row r="46" spans="1:10" s="1" customFormat="1" ht="11.25" x14ac:dyDescent="0.2"/>
    <row r="47" spans="1:10" s="1" customFormat="1" ht="24" customHeight="1" x14ac:dyDescent="0.2">
      <c r="B47" s="971" t="s">
        <v>404</v>
      </c>
      <c r="C47" s="971"/>
      <c r="D47" s="971"/>
      <c r="E47" s="971"/>
      <c r="F47" s="971"/>
      <c r="G47" s="971"/>
      <c r="H47" s="971"/>
      <c r="I47" s="971"/>
      <c r="J47" s="971"/>
    </row>
    <row r="48" spans="1:10" s="1" customFormat="1" ht="11.25" x14ac:dyDescent="0.2"/>
    <row r="49" spans="2:10" s="1" customFormat="1" ht="11.25" x14ac:dyDescent="0.2"/>
    <row r="50" spans="2:10" s="1" customFormat="1" ht="11.25" x14ac:dyDescent="0.2"/>
    <row r="51" spans="2:10" s="1" customFormat="1" ht="11.25" x14ac:dyDescent="0.2"/>
    <row r="52" spans="2:10" s="1" customFormat="1" ht="11.25" x14ac:dyDescent="0.2">
      <c r="B52" s="972" t="s">
        <v>463</v>
      </c>
      <c r="C52" s="972"/>
      <c r="D52" s="972"/>
      <c r="E52" s="972"/>
      <c r="F52" s="972"/>
      <c r="G52" s="972"/>
      <c r="H52" s="972"/>
      <c r="I52" s="972"/>
      <c r="J52" s="972"/>
    </row>
    <row r="53" spans="2:10" s="1" customFormat="1" ht="11.25" x14ac:dyDescent="0.2"/>
  </sheetData>
  <sheetProtection algorithmName="SHA-512" hashValue="aeiqzgwRCNj+DghFfFMr/XA7rEHcKqLvzkGXKHmhXGJSvoJLlZC87OEnjn+hwCAZV7Xh1K7VshzFIUTbj4Q3kQ==" saltValue="kpNaQssZD8//34SKEuyX3Q==" spinCount="100000" sheet="1" objects="1" scenarios="1"/>
  <mergeCells count="14">
    <mergeCell ref="C2:H2"/>
    <mergeCell ref="C3:H3"/>
    <mergeCell ref="C4:H4"/>
    <mergeCell ref="B7:J7"/>
    <mergeCell ref="B52:J52"/>
    <mergeCell ref="B9:J9"/>
    <mergeCell ref="B18:J18"/>
    <mergeCell ref="C30:J30"/>
    <mergeCell ref="B34:J34"/>
    <mergeCell ref="B43:J43"/>
    <mergeCell ref="B47:J47"/>
    <mergeCell ref="B12:J12"/>
    <mergeCell ref="B15:J15"/>
    <mergeCell ref="B45:J45"/>
  </mergeCells>
  <phoneticPr fontId="2" type="noConversion"/>
  <pageMargins left="0.75" right="0.75" top="0.5" bottom="0.75" header="0.5" footer="0.5"/>
  <pageSetup scale="95" fitToHeight="2" orientation="portrait"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M221"/>
  <sheetViews>
    <sheetView showGridLines="0" zoomScaleNormal="100" workbookViewId="0">
      <selection activeCell="R20" sqref="R20"/>
    </sheetView>
  </sheetViews>
  <sheetFormatPr defaultRowHeight="12.75" x14ac:dyDescent="0.2"/>
  <cols>
    <col min="1" max="1" width="3.28515625" customWidth="1"/>
    <col min="2" max="2" width="7.5703125" bestFit="1" customWidth="1"/>
    <col min="3" max="3" width="20.7109375" customWidth="1"/>
    <col min="4" max="7" width="10.7109375" customWidth="1"/>
    <col min="8" max="8" width="3.7109375" customWidth="1"/>
    <col min="9" max="9" width="6.7109375" customWidth="1"/>
    <col min="10" max="10" width="10.7109375" customWidth="1"/>
    <col min="11" max="11" width="10.140625" bestFit="1" customWidth="1"/>
    <col min="12" max="12" width="8.85546875" customWidth="1"/>
    <col min="13" max="13" width="9.5703125" bestFit="1" customWidth="1"/>
  </cols>
  <sheetData>
    <row r="1" spans="1:12" s="7" customFormat="1" ht="8.25" x14ac:dyDescent="0.15">
      <c r="J1" s="8" t="s">
        <v>1649</v>
      </c>
    </row>
    <row r="2" spans="1:12" s="4" customFormat="1" ht="9.75" customHeight="1" x14ac:dyDescent="0.2">
      <c r="B2" s="4" t="s">
        <v>582</v>
      </c>
      <c r="G2" s="4" t="s">
        <v>584</v>
      </c>
    </row>
    <row r="3" spans="1:12" x14ac:dyDescent="0.2">
      <c r="B3" s="1049"/>
      <c r="C3" s="1050"/>
      <c r="D3" s="1050"/>
      <c r="E3" s="1051"/>
      <c r="G3" s="1052"/>
      <c r="H3" s="1053"/>
      <c r="I3" s="1054"/>
    </row>
    <row r="4" spans="1:12" s="4" customFormat="1" ht="9.75" customHeight="1" x14ac:dyDescent="0.2">
      <c r="B4" s="4" t="s">
        <v>580</v>
      </c>
      <c r="C4" s="4" t="s">
        <v>542</v>
      </c>
      <c r="E4" s="4" t="s">
        <v>581</v>
      </c>
      <c r="G4" s="4" t="s">
        <v>585</v>
      </c>
    </row>
    <row r="5" spans="1:12" x14ac:dyDescent="0.2">
      <c r="B5" s="140"/>
      <c r="C5" s="1049"/>
      <c r="D5" s="1051"/>
      <c r="E5" s="146"/>
      <c r="G5" s="1055"/>
      <c r="H5" s="1056"/>
      <c r="I5" s="1057"/>
    </row>
    <row r="6" spans="1:12" s="4" customFormat="1" ht="9.75" customHeight="1" x14ac:dyDescent="0.2">
      <c r="B6" s="4" t="s">
        <v>541</v>
      </c>
      <c r="D6" s="4" t="s">
        <v>544</v>
      </c>
      <c r="E6" s="4" t="s">
        <v>583</v>
      </c>
      <c r="G6" s="4" t="s">
        <v>586</v>
      </c>
    </row>
    <row r="7" spans="1:12" x14ac:dyDescent="0.2">
      <c r="B7" s="1049"/>
      <c r="C7" s="1051"/>
      <c r="D7" s="816"/>
      <c r="E7" s="673"/>
      <c r="F7" s="16"/>
      <c r="G7" s="1101"/>
      <c r="H7" s="1056"/>
      <c r="I7" s="1056"/>
      <c r="J7" s="1057"/>
    </row>
    <row r="8" spans="1:12" s="1" customFormat="1" ht="3.75" customHeight="1" x14ac:dyDescent="0.2"/>
    <row r="9" spans="1:12" s="4" customFormat="1" ht="12.75" customHeight="1" x14ac:dyDescent="0.2">
      <c r="B9" s="4" t="s">
        <v>639</v>
      </c>
      <c r="G9" s="21" t="s">
        <v>1227</v>
      </c>
      <c r="H9" s="1006" t="s">
        <v>643</v>
      </c>
      <c r="I9" s="1102"/>
      <c r="J9" s="1007"/>
    </row>
    <row r="10" spans="1:12" ht="14.1" customHeight="1" x14ac:dyDescent="0.2">
      <c r="B10" s="2"/>
      <c r="C10" s="2"/>
      <c r="D10" s="2"/>
      <c r="E10" s="2"/>
      <c r="G10" s="22" t="s">
        <v>548</v>
      </c>
      <c r="H10" s="1064" t="s">
        <v>641</v>
      </c>
      <c r="I10" s="1065"/>
      <c r="J10" s="17" t="s">
        <v>642</v>
      </c>
    </row>
    <row r="11" spans="1:12" ht="14.1" customHeight="1" x14ac:dyDescent="0.2">
      <c r="B11" s="2"/>
      <c r="C11" s="2"/>
      <c r="D11" s="2"/>
      <c r="E11" s="2"/>
      <c r="G11" s="274">
        <v>2018</v>
      </c>
      <c r="H11" s="1103"/>
      <c r="I11" s="1104"/>
      <c r="J11" s="55"/>
      <c r="K11" s="669"/>
    </row>
    <row r="12" spans="1:12" ht="14.1" customHeight="1" x14ac:dyDescent="0.2">
      <c r="B12" s="2"/>
      <c r="C12" s="2"/>
      <c r="D12" s="2"/>
      <c r="E12" s="2"/>
      <c r="G12" s="1066" t="str">
        <f>IF(AND(G11="",H11=""),"You must enter a tax year.",IF((J11-H11)&gt;372,"Fiscal year greater than 12 months.",""))</f>
        <v/>
      </c>
      <c r="H12" s="1066"/>
      <c r="I12" s="1066"/>
      <c r="J12" s="1066"/>
    </row>
    <row r="13" spans="1:12" ht="14.1" customHeight="1" x14ac:dyDescent="0.2">
      <c r="B13" s="2"/>
      <c r="C13" s="2"/>
      <c r="D13" s="2"/>
      <c r="E13" s="2"/>
      <c r="G13" s="1109" t="str">
        <f>IF(G12="You must enter a tax year.","",IF(ISNA(F42),"Tax Year Not Supported",IF(OR(F42="Year not supported",F42="Needs Update",Cities!D1&gt;2018),"Tax Year Not Supported","")))</f>
        <v/>
      </c>
      <c r="H13" s="1109"/>
      <c r="I13" s="1109"/>
      <c r="J13" s="1109"/>
    </row>
    <row r="14" spans="1:12" ht="8.25" customHeight="1" x14ac:dyDescent="0.2">
      <c r="B14" s="1105" t="str">
        <f>Data!B20</f>
        <v>No federal filing Business Type selected.</v>
      </c>
      <c r="C14" s="1105"/>
      <c r="D14" s="1105"/>
      <c r="E14" s="1105"/>
      <c r="F14" s="56"/>
      <c r="G14" s="25"/>
    </row>
    <row r="15" spans="1:12" x14ac:dyDescent="0.2">
      <c r="B15" s="4" t="s">
        <v>286</v>
      </c>
      <c r="E15" s="991" t="s">
        <v>587</v>
      </c>
      <c r="F15" s="992"/>
      <c r="G15" s="993"/>
      <c r="H15" s="24"/>
      <c r="I15" s="1006" t="s">
        <v>1008</v>
      </c>
      <c r="J15" s="1007"/>
    </row>
    <row r="16" spans="1:12" ht="22.5" customHeight="1" x14ac:dyDescent="0.25">
      <c r="A16" s="20"/>
      <c r="B16" s="1073"/>
      <c r="C16" s="1009"/>
      <c r="E16" s="996" t="str">
        <f>IF(Data!F262&lt;&gt;"",Data!F262,Data!E33)</f>
        <v/>
      </c>
      <c r="F16" s="997"/>
      <c r="G16" s="998"/>
      <c r="H16" s="24"/>
      <c r="I16" s="994"/>
      <c r="J16" s="995"/>
      <c r="L16" s="490" t="str">
        <f>'Tax Rate Calc'!$N7</f>
        <v/>
      </c>
    </row>
    <row r="17" spans="1:12" ht="23.25" customHeight="1" x14ac:dyDescent="0.25">
      <c r="A17" s="20"/>
      <c r="B17" s="1008"/>
      <c r="C17" s="1009"/>
      <c r="E17" s="996" t="str">
        <f>IF(Data!F263&lt;&gt;"",Data!F263,Data!E34)</f>
        <v/>
      </c>
      <c r="F17" s="997"/>
      <c r="G17" s="998"/>
      <c r="H17" s="24"/>
      <c r="L17" s="490" t="str">
        <f>'Tax Rate Calc'!$N8</f>
        <v/>
      </c>
    </row>
    <row r="18" spans="1:12" ht="23.25" customHeight="1" x14ac:dyDescent="0.25">
      <c r="A18" s="20"/>
      <c r="B18" s="1008"/>
      <c r="C18" s="1009"/>
      <c r="E18" s="996" t="str">
        <f>IF(Data!F264&lt;&gt;"",Data!F264,Data!E35)</f>
        <v/>
      </c>
      <c r="F18" s="997"/>
      <c r="G18" s="998"/>
      <c r="H18" s="24"/>
      <c r="I18" s="1069" t="s">
        <v>1009</v>
      </c>
      <c r="J18" s="1070"/>
      <c r="L18" s="490" t="str">
        <f>'Tax Rate Calc'!$N9</f>
        <v/>
      </c>
    </row>
    <row r="19" spans="1:12" ht="23.25" customHeight="1" x14ac:dyDescent="0.25">
      <c r="A19" s="20"/>
      <c r="B19" s="1008"/>
      <c r="C19" s="1009"/>
      <c r="E19" s="996" t="str">
        <f>IF(Data!F265&lt;&gt;"",Data!F265,Data!E36)</f>
        <v/>
      </c>
      <c r="F19" s="997"/>
      <c r="G19" s="998"/>
      <c r="H19" s="24"/>
      <c r="I19" s="994"/>
      <c r="J19" s="995"/>
      <c r="L19" s="490" t="str">
        <f>'Tax Rate Calc'!$N10</f>
        <v/>
      </c>
    </row>
    <row r="20" spans="1:12" ht="21" customHeight="1" x14ac:dyDescent="0.25">
      <c r="A20" s="20"/>
      <c r="B20" s="1008"/>
      <c r="C20" s="1009"/>
      <c r="E20" s="1074" t="str">
        <f>IF(Data!F266&lt;&gt;"",Data!F266,Data!E37)</f>
        <v/>
      </c>
      <c r="F20" s="1075"/>
      <c r="G20" s="1076"/>
      <c r="H20" s="24"/>
      <c r="I20" s="1000" t="str">
        <f>IF(Data!B22=TRUE,"Include pymts made with original return","")</f>
        <v/>
      </c>
      <c r="J20" s="1000"/>
      <c r="L20" s="490" t="str">
        <f>'Tax Rate Calc'!$N11</f>
        <v/>
      </c>
    </row>
    <row r="21" spans="1:12" ht="1.5" customHeight="1" x14ac:dyDescent="0.2">
      <c r="B21" s="999" t="str">
        <f>IF(AND(Data!B49=TRUE,Data!A40=0),Data!E46,"")</f>
        <v/>
      </c>
      <c r="C21" s="999"/>
    </row>
    <row r="22" spans="1:12" ht="18" x14ac:dyDescent="0.25">
      <c r="B22" s="36" t="s">
        <v>1239</v>
      </c>
    </row>
    <row r="23" spans="1:12" x14ac:dyDescent="0.2">
      <c r="B23" s="1117" t="s">
        <v>617</v>
      </c>
      <c r="C23" s="1117"/>
      <c r="D23" s="1117"/>
      <c r="E23" s="1117"/>
      <c r="F23" s="1117"/>
      <c r="G23" s="1117"/>
      <c r="H23" s="1117"/>
      <c r="I23" s="1117"/>
      <c r="J23" s="1117"/>
    </row>
    <row r="24" spans="1:12" s="6" customFormat="1" ht="15.75" x14ac:dyDescent="0.25">
      <c r="B24" s="354"/>
      <c r="I24" s="1005"/>
      <c r="J24" s="1005"/>
    </row>
    <row r="25" spans="1:12" s="6" customFormat="1" ht="15.75" x14ac:dyDescent="0.25">
      <c r="B25" s="354"/>
      <c r="I25" s="1005"/>
      <c r="J25" s="1005"/>
    </row>
    <row r="26" spans="1:12" s="1" customFormat="1" ht="15" customHeight="1" x14ac:dyDescent="0.2">
      <c r="B26" s="368"/>
      <c r="G26" s="1" t="s">
        <v>615</v>
      </c>
      <c r="I26" s="1002"/>
      <c r="J26" s="1003"/>
      <c r="K26" s="1004"/>
    </row>
    <row r="27" spans="1:12" s="1" customFormat="1" x14ac:dyDescent="0.2">
      <c r="B27" s="368"/>
      <c r="C27"/>
      <c r="D27"/>
      <c r="E27"/>
      <c r="F27"/>
      <c r="G27"/>
      <c r="H27"/>
      <c r="I27"/>
      <c r="J27"/>
      <c r="K27"/>
    </row>
    <row r="28" spans="1:12" s="1" customFormat="1" ht="1.5" customHeight="1" x14ac:dyDescent="0.2">
      <c r="B28" s="368"/>
      <c r="C28" s="344"/>
      <c r="D28" s="344"/>
      <c r="E28" s="344"/>
      <c r="F28" s="344"/>
      <c r="G28" s="344"/>
      <c r="H28" s="344"/>
      <c r="I28" s="371"/>
      <c r="J28" s="371"/>
    </row>
    <row r="29" spans="1:12" x14ac:dyDescent="0.2">
      <c r="A29" s="67"/>
      <c r="B29" s="275"/>
      <c r="C29" s="344" t="s">
        <v>1150</v>
      </c>
      <c r="D29" s="171"/>
      <c r="E29" s="171"/>
      <c r="F29" s="171"/>
      <c r="G29" s="171"/>
      <c r="H29" s="171"/>
      <c r="I29" s="372"/>
      <c r="J29" s="372"/>
    </row>
    <row r="30" spans="1:12" ht="3" customHeight="1" x14ac:dyDescent="0.2">
      <c r="A30" s="67"/>
      <c r="B30" s="275"/>
      <c r="C30" s="344"/>
      <c r="D30" s="171"/>
      <c r="E30" s="171"/>
      <c r="F30" s="171"/>
      <c r="G30" s="171"/>
      <c r="H30" s="171"/>
      <c r="I30" s="372"/>
      <c r="J30" s="372"/>
    </row>
    <row r="31" spans="1:12" s="12" customFormat="1" ht="14.1" customHeight="1" x14ac:dyDescent="0.2">
      <c r="B31" s="11"/>
      <c r="C31" s="720" t="s">
        <v>1546</v>
      </c>
      <c r="D31" s="719"/>
      <c r="E31" s="719"/>
      <c r="F31" s="719"/>
      <c r="G31" s="719"/>
      <c r="H31" s="719"/>
      <c r="I31" s="719"/>
      <c r="J31" s="719"/>
    </row>
    <row r="32" spans="1:12" ht="22.5" customHeight="1" x14ac:dyDescent="0.2">
      <c r="C32" s="1058" t="str">
        <f>IF(Data!A47="","Skip this question.",Data!E45)</f>
        <v>Skip this question.</v>
      </c>
      <c r="D32" s="1058"/>
      <c r="E32" s="1058"/>
      <c r="F32" s="1058"/>
      <c r="G32" s="1058"/>
      <c r="H32" s="1058"/>
      <c r="I32" s="1058"/>
      <c r="J32" s="1058"/>
    </row>
    <row r="33" spans="2:12" ht="1.5" customHeight="1" x14ac:dyDescent="0.2"/>
    <row r="34" spans="2:12" ht="12.75" customHeight="1" x14ac:dyDescent="0.2">
      <c r="C34" s="1001" t="s">
        <v>1252</v>
      </c>
      <c r="D34" s="1001"/>
      <c r="E34" s="78"/>
      <c r="F34" s="77" t="s">
        <v>1249</v>
      </c>
      <c r="G34" s="985"/>
      <c r="H34" s="985"/>
      <c r="I34" s="985"/>
      <c r="J34" s="985"/>
    </row>
    <row r="35" spans="2:12" x14ac:dyDescent="0.2">
      <c r="C35" s="1059" t="s">
        <v>1260</v>
      </c>
      <c r="D35" s="1059"/>
      <c r="E35" s="1059"/>
      <c r="F35" s="1" t="s">
        <v>1250</v>
      </c>
      <c r="G35" s="985"/>
      <c r="H35" s="985"/>
      <c r="I35" s="985"/>
      <c r="J35" s="985"/>
    </row>
    <row r="36" spans="2:12" x14ac:dyDescent="0.2">
      <c r="C36" s="1" t="s">
        <v>1251</v>
      </c>
      <c r="D36" s="1060"/>
      <c r="E36" s="1061"/>
      <c r="G36" s="985"/>
      <c r="H36" s="985"/>
      <c r="I36" s="985"/>
      <c r="J36" s="985"/>
    </row>
    <row r="37" spans="2:12" ht="1.5" customHeight="1" x14ac:dyDescent="0.2"/>
    <row r="39" spans="2:12" ht="1.5" customHeight="1" x14ac:dyDescent="0.2"/>
    <row r="40" spans="2:12" ht="18.75" thickBot="1" x14ac:dyDescent="0.3">
      <c r="B40" s="20" t="s">
        <v>7</v>
      </c>
    </row>
    <row r="41" spans="2:12" ht="13.5" thickBot="1" x14ac:dyDescent="0.25">
      <c r="B41" s="44" t="s">
        <v>14</v>
      </c>
      <c r="C41" s="43" t="s">
        <v>1139</v>
      </c>
      <c r="D41" s="43"/>
      <c r="E41" s="43"/>
      <c r="F41" s="43"/>
      <c r="G41" s="43"/>
      <c r="H41" s="43"/>
      <c r="I41" s="43"/>
      <c r="J41" s="43"/>
    </row>
    <row r="42" spans="2:12" ht="18.75" customHeight="1" x14ac:dyDescent="0.2">
      <c r="B42" s="1071" t="s">
        <v>682</v>
      </c>
      <c r="C42" s="1071"/>
      <c r="D42" s="1071"/>
      <c r="E42" s="1072"/>
      <c r="F42" s="1067" t="str">
        <f>References!C258</f>
        <v>No guidance available</v>
      </c>
      <c r="G42" s="1068"/>
      <c r="H42" s="42">
        <v>1</v>
      </c>
      <c r="I42" s="1062"/>
      <c r="J42" s="1063"/>
    </row>
    <row r="43" spans="2:12" ht="12.75" customHeight="1" x14ac:dyDescent="0.2">
      <c r="B43" s="986" t="s">
        <v>1271</v>
      </c>
      <c r="C43" s="987"/>
      <c r="D43" s="987"/>
      <c r="E43" s="987"/>
      <c r="F43" s="984" t="str">
        <f>References!C260</f>
        <v>No guidance available</v>
      </c>
      <c r="G43" s="984"/>
      <c r="H43" s="38">
        <f>+H42+1</f>
        <v>2</v>
      </c>
      <c r="I43" s="979"/>
      <c r="J43" s="980"/>
    </row>
    <row r="44" spans="2:12" x14ac:dyDescent="0.2">
      <c r="B44" s="986" t="s">
        <v>1272</v>
      </c>
      <c r="C44" s="987"/>
      <c r="D44" s="987"/>
      <c r="E44" s="987"/>
      <c r="F44" s="984" t="str">
        <f>References!C261</f>
        <v>No guidance available</v>
      </c>
      <c r="G44" s="984"/>
      <c r="H44" s="38">
        <f t="shared" ref="H44:H50" si="0">+H43+1</f>
        <v>3</v>
      </c>
      <c r="I44" s="979"/>
      <c r="J44" s="980"/>
    </row>
    <row r="45" spans="2:12" x14ac:dyDescent="0.2">
      <c r="B45" s="986" t="s">
        <v>1273</v>
      </c>
      <c r="C45" s="987"/>
      <c r="D45" s="987"/>
      <c r="E45" s="987"/>
      <c r="F45" s="984" t="str">
        <f>References!C262</f>
        <v>No guidance available</v>
      </c>
      <c r="G45" s="984"/>
      <c r="H45" s="38">
        <f t="shared" si="0"/>
        <v>4</v>
      </c>
      <c r="I45" s="979"/>
      <c r="J45" s="980"/>
    </row>
    <row r="46" spans="2:12" x14ac:dyDescent="0.2">
      <c r="B46" s="986" t="s">
        <v>701</v>
      </c>
      <c r="C46" s="987"/>
      <c r="D46" s="987"/>
      <c r="E46" s="987"/>
      <c r="F46" s="984" t="str">
        <f>References!C263</f>
        <v>No guidance available</v>
      </c>
      <c r="G46" s="984"/>
      <c r="H46" s="38">
        <f t="shared" si="0"/>
        <v>5</v>
      </c>
      <c r="I46" s="979"/>
      <c r="J46" s="980"/>
      <c r="K46" s="3"/>
      <c r="L46" s="3"/>
    </row>
    <row r="47" spans="2:12" ht="20.100000000000001" customHeight="1" x14ac:dyDescent="0.2">
      <c r="B47" s="986" t="s">
        <v>1269</v>
      </c>
      <c r="C47" s="987"/>
      <c r="D47" s="987"/>
      <c r="E47" s="987"/>
      <c r="F47" s="988" t="str">
        <f>References!C270</f>
        <v>No guidance available</v>
      </c>
      <c r="G47" s="989"/>
      <c r="H47" s="38">
        <f t="shared" si="0"/>
        <v>6</v>
      </c>
      <c r="I47" s="979"/>
      <c r="J47" s="980"/>
    </row>
    <row r="48" spans="2:12" x14ac:dyDescent="0.2">
      <c r="B48" s="982" t="s">
        <v>526</v>
      </c>
      <c r="C48" s="983"/>
      <c r="D48" s="983"/>
      <c r="E48" s="983"/>
      <c r="F48" s="984" t="str">
        <f>References!C279</f>
        <v>No guidance available</v>
      </c>
      <c r="G48" s="984"/>
      <c r="H48" s="38">
        <f t="shared" si="0"/>
        <v>7</v>
      </c>
      <c r="I48" s="980"/>
      <c r="J48" s="981"/>
    </row>
    <row r="49" spans="2:13" x14ac:dyDescent="0.2">
      <c r="B49" s="982" t="s">
        <v>528</v>
      </c>
      <c r="C49" s="983"/>
      <c r="D49" s="983"/>
      <c r="E49" s="983"/>
      <c r="F49" s="984" t="str">
        <f>References!C280</f>
        <v>No guidance available</v>
      </c>
      <c r="G49" s="984"/>
      <c r="H49" s="38">
        <f t="shared" si="0"/>
        <v>8</v>
      </c>
      <c r="I49" s="980"/>
      <c r="J49" s="981"/>
    </row>
    <row r="50" spans="2:13" x14ac:dyDescent="0.2">
      <c r="B50" s="982" t="s">
        <v>324</v>
      </c>
      <c r="C50" s="983"/>
      <c r="D50" s="983"/>
      <c r="E50" s="983"/>
      <c r="F50" s="984" t="str">
        <f>References!C281</f>
        <v>No guidance available</v>
      </c>
      <c r="G50" s="984"/>
      <c r="H50" s="38">
        <f t="shared" si="0"/>
        <v>9</v>
      </c>
      <c r="I50" s="979"/>
      <c r="J50" s="980"/>
    </row>
    <row r="51" spans="2:13" ht="8.25" customHeight="1" thickBot="1" x14ac:dyDescent="0.25">
      <c r="B51" s="1106" t="str">
        <f>IF(AND(OR(I48&lt;0,I49&lt;0,I50&lt;0),Data!F9=TRUE),"Caution: Only report the amount of Schedule D and Form 4797, Ln 7 losses that were included in calculating Form 1120, Pg 1, Ln 28.","")</f>
        <v/>
      </c>
      <c r="C51" s="1106"/>
      <c r="D51" s="1106"/>
      <c r="E51" s="1106"/>
      <c r="F51" s="1106"/>
      <c r="G51" s="1106"/>
      <c r="H51" s="1106"/>
      <c r="I51" s="1106"/>
      <c r="J51" s="1106"/>
      <c r="K51" s="86"/>
    </row>
    <row r="52" spans="2:13" ht="13.5" thickBot="1" x14ac:dyDescent="0.25">
      <c r="B52" s="44" t="s">
        <v>1014</v>
      </c>
      <c r="C52" s="43" t="s">
        <v>1140</v>
      </c>
      <c r="D52" s="43"/>
      <c r="E52" s="43"/>
      <c r="F52" s="91" t="str">
        <f>IF(AND(Data!F9=TRUE,Data!B17=1),"Skip:","")</f>
        <v/>
      </c>
      <c r="G52" s="92" t="str">
        <f>IF(F52="Skip:","Taxpayer is filing as a C-Corporation","")</f>
        <v/>
      </c>
      <c r="H52" s="43"/>
      <c r="I52" s="43"/>
      <c r="J52" s="90"/>
    </row>
    <row r="53" spans="2:13" x14ac:dyDescent="0.2">
      <c r="B53" s="986" t="s">
        <v>360</v>
      </c>
      <c r="C53" s="987"/>
      <c r="D53" s="987"/>
      <c r="E53" s="987"/>
      <c r="F53" s="984" t="str">
        <f>References!C282</f>
        <v>No guidance available</v>
      </c>
      <c r="G53" s="984"/>
      <c r="H53" s="38">
        <f>+H50+1</f>
        <v>10</v>
      </c>
      <c r="I53" s="979"/>
      <c r="J53" s="980"/>
      <c r="K53" s="3"/>
      <c r="L53" s="3"/>
    </row>
    <row r="54" spans="2:13" x14ac:dyDescent="0.2">
      <c r="B54" s="986" t="str">
        <f>CONCATENATE("Carryover of disallowed section 179 deduction to ",IF(G11="",YEAR(H11)+1,G11+1))</f>
        <v>Carryover of disallowed section 179 deduction to 2019</v>
      </c>
      <c r="C54" s="987"/>
      <c r="D54" s="987"/>
      <c r="E54" s="987"/>
      <c r="F54" s="984" t="str">
        <f>References!C283</f>
        <v>No guidance available</v>
      </c>
      <c r="G54" s="984"/>
      <c r="H54" s="38">
        <f t="shared" ref="H54:H63" si="1">+H53+1</f>
        <v>11</v>
      </c>
      <c r="I54" s="979"/>
      <c r="J54" s="980"/>
      <c r="K54" s="3"/>
      <c r="L54" s="3"/>
    </row>
    <row r="55" spans="2:13" x14ac:dyDescent="0.2">
      <c r="B55" s="986" t="s">
        <v>1279</v>
      </c>
      <c r="C55" s="987"/>
      <c r="D55" s="987"/>
      <c r="E55" s="987"/>
      <c r="F55" s="984" t="str">
        <f>References!C284</f>
        <v>No guidance available</v>
      </c>
      <c r="G55" s="984"/>
      <c r="H55" s="38">
        <f t="shared" si="1"/>
        <v>12</v>
      </c>
      <c r="I55" s="979"/>
      <c r="J55" s="980"/>
      <c r="K55" s="3"/>
      <c r="L55" s="3"/>
      <c r="M55" s="3"/>
    </row>
    <row r="56" spans="2:13" x14ac:dyDescent="0.2">
      <c r="B56" s="986" t="s">
        <v>1290</v>
      </c>
      <c r="C56" s="987"/>
      <c r="D56" s="987"/>
      <c r="E56" s="987"/>
      <c r="F56" s="984" t="str">
        <f>References!C285</f>
        <v>No guidance available</v>
      </c>
      <c r="G56" s="984"/>
      <c r="H56" s="38">
        <f t="shared" si="1"/>
        <v>13</v>
      </c>
      <c r="I56" s="979"/>
      <c r="J56" s="980"/>
      <c r="K56" s="3"/>
      <c r="L56" s="3"/>
    </row>
    <row r="57" spans="2:13" x14ac:dyDescent="0.2">
      <c r="B57" s="986" t="s">
        <v>1288</v>
      </c>
      <c r="C57" s="987"/>
      <c r="D57" s="987"/>
      <c r="E57" s="987"/>
      <c r="F57" s="984" t="str">
        <f>References!C286</f>
        <v>No guidance available</v>
      </c>
      <c r="G57" s="984"/>
      <c r="H57" s="38">
        <f t="shared" si="1"/>
        <v>14</v>
      </c>
      <c r="I57" s="979"/>
      <c r="J57" s="980"/>
      <c r="K57" s="3"/>
      <c r="L57" s="3"/>
    </row>
    <row r="58" spans="2:13" x14ac:dyDescent="0.2">
      <c r="B58" s="986" t="s">
        <v>1289</v>
      </c>
      <c r="C58" s="987"/>
      <c r="D58" s="987"/>
      <c r="E58" s="987"/>
      <c r="F58" s="984" t="str">
        <f>References!C287</f>
        <v>No guidance available</v>
      </c>
      <c r="G58" s="984"/>
      <c r="H58" s="38">
        <f t="shared" si="1"/>
        <v>15</v>
      </c>
      <c r="I58" s="979"/>
      <c r="J58" s="980"/>
    </row>
    <row r="59" spans="2:13" x14ac:dyDescent="0.2">
      <c r="B59" s="1098" t="s">
        <v>132</v>
      </c>
      <c r="C59" s="1099"/>
      <c r="D59" s="1099"/>
      <c r="E59" s="1099"/>
      <c r="F59" s="984" t="s">
        <v>752</v>
      </c>
      <c r="G59" s="984"/>
      <c r="H59" s="38">
        <f t="shared" si="1"/>
        <v>16</v>
      </c>
      <c r="I59" s="979"/>
      <c r="J59" s="980"/>
    </row>
    <row r="60" spans="2:13" x14ac:dyDescent="0.2">
      <c r="B60" s="986" t="s">
        <v>101</v>
      </c>
      <c r="C60" s="987"/>
      <c r="D60" s="987"/>
      <c r="E60" s="987"/>
      <c r="F60" s="984" t="str">
        <f>References!C288</f>
        <v>No guidance available</v>
      </c>
      <c r="G60" s="984"/>
      <c r="H60" s="38">
        <f t="shared" si="1"/>
        <v>17</v>
      </c>
      <c r="I60" s="979"/>
      <c r="J60" s="980"/>
      <c r="K60" s="3"/>
    </row>
    <row r="61" spans="2:13" x14ac:dyDescent="0.2">
      <c r="B61" s="1098" t="s">
        <v>102</v>
      </c>
      <c r="C61" s="1099"/>
      <c r="D61" s="1099"/>
      <c r="E61" s="1099"/>
      <c r="F61" s="984" t="str">
        <f>References!C289</f>
        <v>No guidance available</v>
      </c>
      <c r="G61" s="984"/>
      <c r="H61" s="38">
        <f t="shared" si="1"/>
        <v>18</v>
      </c>
      <c r="I61" s="979"/>
      <c r="J61" s="980"/>
      <c r="K61" s="3"/>
    </row>
    <row r="62" spans="2:13" x14ac:dyDescent="0.2">
      <c r="B62" s="1098" t="s">
        <v>822</v>
      </c>
      <c r="C62" s="1099"/>
      <c r="D62" s="1099"/>
      <c r="E62" s="1099"/>
      <c r="F62" s="1100"/>
      <c r="G62" s="1100"/>
      <c r="H62" s="38">
        <f t="shared" si="1"/>
        <v>19</v>
      </c>
      <c r="I62" s="1046">
        <f>IF(I60&lt;I61,I60,I61)</f>
        <v>0</v>
      </c>
      <c r="J62" s="1047"/>
      <c r="K62" s="3"/>
    </row>
    <row r="63" spans="2:13" x14ac:dyDescent="0.2">
      <c r="B63" s="1098" t="s">
        <v>103</v>
      </c>
      <c r="C63" s="1099"/>
      <c r="D63" s="1099"/>
      <c r="E63" s="1099"/>
      <c r="F63" s="984" t="str">
        <f>References!C291</f>
        <v>No guidance available</v>
      </c>
      <c r="G63" s="984"/>
      <c r="H63" s="38">
        <f t="shared" si="1"/>
        <v>20</v>
      </c>
      <c r="I63" s="979"/>
      <c r="J63" s="980"/>
      <c r="K63" s="3"/>
    </row>
    <row r="64" spans="2:13" x14ac:dyDescent="0.2">
      <c r="B64" s="986" t="s">
        <v>750</v>
      </c>
      <c r="C64" s="987"/>
      <c r="D64" s="987"/>
      <c r="E64" s="987"/>
      <c r="F64" s="984" t="s">
        <v>411</v>
      </c>
      <c r="G64" s="984"/>
      <c r="H64" s="38">
        <f>+H63+1</f>
        <v>21</v>
      </c>
      <c r="I64" s="1046">
        <f>IF(F52="Skip:","",IF('Form 8903'!G1&lt;2011,'Form 8903 (pre 2011)'!H27,'Form 8903'!G33))</f>
        <v>0</v>
      </c>
      <c r="J64" s="1047"/>
      <c r="K64" s="3"/>
    </row>
    <row r="65" spans="2:10" ht="3.75" customHeight="1" thickBot="1" x14ac:dyDescent="0.25">
      <c r="B65" s="990" t="str">
        <f>IF(OR(I53&lt;&gt;"",I54&lt;&gt;"",I55&lt;&gt;"",I56&lt;&gt;"",I57&lt;&gt;"",I58&lt;&gt;"",I60&lt;&gt;"",I61&lt;&gt;"",I63&lt;&gt;""),IF(Data!F9=TRUE,CONCATENATE("Error: Lines ",H53," through ",H64," are not blank.  These lines should be blank for C corporations."),""),"")</f>
        <v/>
      </c>
      <c r="C65" s="990"/>
      <c r="D65" s="990"/>
      <c r="E65" s="990"/>
      <c r="F65" s="990"/>
      <c r="G65" s="990"/>
      <c r="H65" s="990"/>
      <c r="I65" s="990"/>
      <c r="J65" s="990"/>
    </row>
    <row r="66" spans="2:10" ht="13.5" thickBot="1" x14ac:dyDescent="0.25">
      <c r="B66" s="44" t="s">
        <v>1081</v>
      </c>
      <c r="C66" s="43" t="s">
        <v>1259</v>
      </c>
      <c r="D66" s="43"/>
      <c r="E66" s="43"/>
      <c r="F66" s="91" t="str">
        <f>IF(Data!B49=TRUE,"Skip:","")</f>
        <v/>
      </c>
      <c r="G66" s="1048" t="str">
        <f>IF(F66="Skip:",CONCATENATE("100% of Income to ",Data!A47),"")</f>
        <v/>
      </c>
      <c r="H66" s="1048"/>
      <c r="I66" s="1048"/>
      <c r="J66" s="1048"/>
    </row>
    <row r="67" spans="2:10" x14ac:dyDescent="0.2">
      <c r="B67" s="986" t="s">
        <v>1270</v>
      </c>
      <c r="C67" s="987"/>
      <c r="D67" s="987"/>
      <c r="E67" s="987"/>
      <c r="F67" s="984" t="str">
        <f>References!C259</f>
        <v>No guidance available</v>
      </c>
      <c r="G67" s="984"/>
      <c r="H67" s="38">
        <f>+H64+1</f>
        <v>22</v>
      </c>
      <c r="I67" s="979"/>
      <c r="J67" s="980"/>
    </row>
    <row r="68" spans="2:10" x14ac:dyDescent="0.2">
      <c r="B68" s="986" t="s">
        <v>1274</v>
      </c>
      <c r="C68" s="987"/>
      <c r="D68" s="987"/>
      <c r="E68" s="987"/>
      <c r="F68" s="984" t="str">
        <f>References!C264</f>
        <v>No guidance available</v>
      </c>
      <c r="G68" s="984"/>
      <c r="H68" s="38">
        <f>+H67+1</f>
        <v>23</v>
      </c>
      <c r="I68" s="979"/>
      <c r="J68" s="980"/>
    </row>
    <row r="69" spans="2:10" x14ac:dyDescent="0.2">
      <c r="B69" s="986" t="s">
        <v>1275</v>
      </c>
      <c r="C69" s="987"/>
      <c r="D69" s="987"/>
      <c r="E69" s="987"/>
      <c r="F69" s="984" t="str">
        <f>References!C265</f>
        <v>No guidance available</v>
      </c>
      <c r="G69" s="984"/>
      <c r="H69" s="38">
        <f t="shared" ref="H69:H81" si="2">+H68+1</f>
        <v>24</v>
      </c>
      <c r="I69" s="979"/>
      <c r="J69" s="980"/>
    </row>
    <row r="70" spans="2:10" x14ac:dyDescent="0.2">
      <c r="B70" s="986" t="s">
        <v>1276</v>
      </c>
      <c r="C70" s="987"/>
      <c r="D70" s="987"/>
      <c r="E70" s="987"/>
      <c r="F70" s="984" t="str">
        <f>References!C266</f>
        <v>No guidance available</v>
      </c>
      <c r="G70" s="984"/>
      <c r="H70" s="38">
        <f t="shared" si="2"/>
        <v>25</v>
      </c>
      <c r="I70" s="980"/>
      <c r="J70" s="981"/>
    </row>
    <row r="71" spans="2:10" x14ac:dyDescent="0.2">
      <c r="B71" s="986" t="s">
        <v>1277</v>
      </c>
      <c r="C71" s="987"/>
      <c r="D71" s="987"/>
      <c r="E71" s="987"/>
      <c r="F71" s="984" t="str">
        <f>References!C267</f>
        <v>No guidance available</v>
      </c>
      <c r="G71" s="984"/>
      <c r="H71" s="38">
        <f t="shared" si="2"/>
        <v>26</v>
      </c>
      <c r="I71" s="979"/>
      <c r="J71" s="980"/>
    </row>
    <row r="72" spans="2:10" x14ac:dyDescent="0.2">
      <c r="B72" s="986" t="s">
        <v>1332</v>
      </c>
      <c r="C72" s="987"/>
      <c r="D72" s="987"/>
      <c r="E72" s="987"/>
      <c r="F72" s="984" t="str">
        <f>References!C268</f>
        <v>No guidance available</v>
      </c>
      <c r="G72" s="984"/>
      <c r="H72" s="38">
        <f t="shared" si="2"/>
        <v>27</v>
      </c>
      <c r="I72" s="979"/>
      <c r="J72" s="980"/>
    </row>
    <row r="73" spans="2:10" x14ac:dyDescent="0.2">
      <c r="B73" s="986" t="s">
        <v>1333</v>
      </c>
      <c r="C73" s="987"/>
      <c r="D73" s="987"/>
      <c r="E73" s="987"/>
      <c r="F73" s="984" t="str">
        <f>References!C269</f>
        <v>No guidance available</v>
      </c>
      <c r="G73" s="984"/>
      <c r="H73" s="38">
        <f t="shared" si="2"/>
        <v>28</v>
      </c>
      <c r="I73" s="979"/>
      <c r="J73" s="980"/>
    </row>
    <row r="74" spans="2:10" x14ac:dyDescent="0.2">
      <c r="B74" s="1096" t="s">
        <v>966</v>
      </c>
      <c r="C74" s="1096"/>
      <c r="D74" s="1096"/>
      <c r="E74" s="982"/>
      <c r="F74" s="984" t="str">
        <f>References!C271</f>
        <v>No guidance available</v>
      </c>
      <c r="G74" s="984"/>
      <c r="H74" s="38">
        <f t="shared" si="2"/>
        <v>29</v>
      </c>
      <c r="I74" s="979"/>
      <c r="J74" s="980"/>
    </row>
    <row r="75" spans="2:10" x14ac:dyDescent="0.2">
      <c r="B75" s="1096" t="s">
        <v>967</v>
      </c>
      <c r="C75" s="1096"/>
      <c r="D75" s="1096"/>
      <c r="E75" s="982"/>
      <c r="F75" s="984" t="str">
        <f>References!C272</f>
        <v>No guidance available</v>
      </c>
      <c r="G75" s="984"/>
      <c r="H75" s="38">
        <f t="shared" si="2"/>
        <v>30</v>
      </c>
      <c r="I75" s="979"/>
      <c r="J75" s="980"/>
    </row>
    <row r="76" spans="2:10" x14ac:dyDescent="0.2">
      <c r="B76" s="1096" t="s">
        <v>989</v>
      </c>
      <c r="C76" s="1096"/>
      <c r="D76" s="1096"/>
      <c r="E76" s="982"/>
      <c r="F76" s="984" t="str">
        <f>References!C273</f>
        <v>No guidance available</v>
      </c>
      <c r="G76" s="984"/>
      <c r="H76" s="38">
        <f t="shared" si="2"/>
        <v>31</v>
      </c>
      <c r="I76" s="979"/>
      <c r="J76" s="980"/>
    </row>
    <row r="77" spans="2:10" x14ac:dyDescent="0.2">
      <c r="B77" s="1096" t="s">
        <v>990</v>
      </c>
      <c r="C77" s="1096"/>
      <c r="D77" s="1096"/>
      <c r="E77" s="982"/>
      <c r="F77" s="984" t="str">
        <f>References!C274</f>
        <v>No guidance available</v>
      </c>
      <c r="G77" s="984"/>
      <c r="H77" s="38">
        <f t="shared" si="2"/>
        <v>32</v>
      </c>
      <c r="I77" s="979"/>
      <c r="J77" s="980"/>
    </row>
    <row r="78" spans="2:10" x14ac:dyDescent="0.2">
      <c r="B78" s="982" t="s">
        <v>320</v>
      </c>
      <c r="C78" s="983"/>
      <c r="D78" s="983"/>
      <c r="E78" s="983"/>
      <c r="F78" s="984" t="str">
        <f>References!C275</f>
        <v>No guidance available</v>
      </c>
      <c r="G78" s="984"/>
      <c r="H78" s="38">
        <f t="shared" si="2"/>
        <v>33</v>
      </c>
      <c r="I78" s="979"/>
      <c r="J78" s="980"/>
    </row>
    <row r="79" spans="2:10" x14ac:dyDescent="0.2">
      <c r="B79" s="982" t="s">
        <v>321</v>
      </c>
      <c r="C79" s="983"/>
      <c r="D79" s="983"/>
      <c r="E79" s="983"/>
      <c r="F79" s="984" t="str">
        <f>References!C276</f>
        <v>No guidance available</v>
      </c>
      <c r="G79" s="984"/>
      <c r="H79" s="38">
        <f t="shared" si="2"/>
        <v>34</v>
      </c>
      <c r="I79" s="979"/>
      <c r="J79" s="980"/>
    </row>
    <row r="80" spans="2:10" x14ac:dyDescent="0.2">
      <c r="B80" s="982" t="s">
        <v>322</v>
      </c>
      <c r="C80" s="983"/>
      <c r="D80" s="983"/>
      <c r="E80" s="983"/>
      <c r="F80" s="984" t="str">
        <f>References!C277</f>
        <v>No guidance available</v>
      </c>
      <c r="G80" s="984"/>
      <c r="H80" s="38">
        <f t="shared" si="2"/>
        <v>35</v>
      </c>
      <c r="I80" s="979"/>
      <c r="J80" s="980"/>
    </row>
    <row r="81" spans="2:10" x14ac:dyDescent="0.2">
      <c r="B81" s="982" t="s">
        <v>323</v>
      </c>
      <c r="C81" s="983"/>
      <c r="D81" s="983"/>
      <c r="E81" s="983"/>
      <c r="F81" s="984" t="str">
        <f>References!C278</f>
        <v>No guidance available</v>
      </c>
      <c r="G81" s="984"/>
      <c r="H81" s="38">
        <f t="shared" si="2"/>
        <v>36</v>
      </c>
      <c r="I81" s="979"/>
      <c r="J81" s="980"/>
    </row>
    <row r="82" spans="2:10" ht="15" customHeight="1" x14ac:dyDescent="0.2">
      <c r="B82" s="259"/>
      <c r="C82" s="259"/>
      <c r="D82" s="259"/>
      <c r="E82" s="259"/>
      <c r="F82" s="260"/>
      <c r="G82" s="260"/>
      <c r="H82" s="261"/>
      <c r="I82" s="314"/>
      <c r="J82" s="314"/>
    </row>
    <row r="83" spans="2:10" ht="21.95" customHeight="1" x14ac:dyDescent="0.2">
      <c r="B83" s="1077" t="s">
        <v>1253</v>
      </c>
      <c r="C83" s="1077"/>
      <c r="D83" s="160" t="str">
        <f>IF(Data!$A$40&lt;&gt;0,Data!$A$40,"")</f>
        <v/>
      </c>
      <c r="E83" s="160" t="str">
        <f>IF(Data!$A$41&lt;&gt;0,Data!$A$41,"")</f>
        <v/>
      </c>
      <c r="F83" s="160" t="str">
        <f>IF(Data!$A$42&lt;&gt;0,Data!$A$42,"")</f>
        <v/>
      </c>
      <c r="G83" s="160" t="str">
        <f>IF(Data!$A$43&lt;&gt;0,Data!$A$43,"")</f>
        <v/>
      </c>
      <c r="H83" s="1087" t="str">
        <f>IF(Data!$A$44&lt;&gt;0,Data!$A$44,"")</f>
        <v/>
      </c>
      <c r="I83" s="1087"/>
      <c r="J83" s="80" t="s">
        <v>1255</v>
      </c>
    </row>
    <row r="84" spans="2:10" ht="21.95" customHeight="1" x14ac:dyDescent="0.2">
      <c r="B84" s="1083" t="s">
        <v>1254</v>
      </c>
      <c r="C84" s="1083"/>
      <c r="D84" s="332"/>
      <c r="E84" s="332"/>
      <c r="F84" s="332"/>
      <c r="G84" s="130"/>
      <c r="H84" s="1084"/>
      <c r="I84" s="1084"/>
      <c r="J84" s="131">
        <f t="shared" ref="J84:J92" si="3">SUM(D84:I84)</f>
        <v>0</v>
      </c>
    </row>
    <row r="85" spans="2:10" ht="21.95" customHeight="1" x14ac:dyDescent="0.2">
      <c r="B85" s="1083" t="s">
        <v>1642</v>
      </c>
      <c r="C85" s="1083"/>
      <c r="D85" s="332"/>
      <c r="E85" s="332"/>
      <c r="F85" s="332"/>
      <c r="G85" s="130"/>
      <c r="H85" s="1084"/>
      <c r="I85" s="1084"/>
      <c r="J85" s="131">
        <f t="shared" si="3"/>
        <v>0</v>
      </c>
    </row>
    <row r="86" spans="2:10" x14ac:dyDescent="0.2">
      <c r="B86" s="1083" t="s">
        <v>1256</v>
      </c>
      <c r="C86" s="1083"/>
      <c r="D86" s="132">
        <f>SUM(D84:D85)</f>
        <v>0</v>
      </c>
      <c r="E86" s="132">
        <f>SUM(E84:E85)</f>
        <v>0</v>
      </c>
      <c r="F86" s="132">
        <f>SUM(F84:F85)</f>
        <v>0</v>
      </c>
      <c r="G86" s="132">
        <f>SUM(G84:G85)</f>
        <v>0</v>
      </c>
      <c r="H86" s="1081">
        <f>SUM(H84:I85)</f>
        <v>0</v>
      </c>
      <c r="I86" s="1081"/>
      <c r="J86" s="133">
        <f t="shared" si="3"/>
        <v>0</v>
      </c>
    </row>
    <row r="87" spans="2:10" ht="33" customHeight="1" x14ac:dyDescent="0.2">
      <c r="B87" s="1083" t="s">
        <v>1257</v>
      </c>
      <c r="C87" s="1083"/>
      <c r="D87" s="332"/>
      <c r="E87" s="332"/>
      <c r="F87" s="332"/>
      <c r="G87" s="130"/>
      <c r="H87" s="1084"/>
      <c r="I87" s="1084"/>
      <c r="J87" s="131">
        <f t="shared" si="3"/>
        <v>0</v>
      </c>
    </row>
    <row r="88" spans="2:10" ht="33" customHeight="1" x14ac:dyDescent="0.2">
      <c r="B88" s="1083" t="s">
        <v>1258</v>
      </c>
      <c r="C88" s="1083"/>
      <c r="D88" s="130"/>
      <c r="E88" s="332"/>
      <c r="F88" s="130"/>
      <c r="G88" s="130"/>
      <c r="H88" s="1084"/>
      <c r="I88" s="1084"/>
      <c r="J88" s="131">
        <f t="shared" si="3"/>
        <v>0</v>
      </c>
    </row>
    <row r="89" spans="2:10" x14ac:dyDescent="0.2">
      <c r="B89" s="1080" t="s">
        <v>1351</v>
      </c>
      <c r="C89" s="1080"/>
      <c r="D89" s="95" t="str">
        <f>IF('Print Return'!$L$197=0,"n/a",'Print Return'!$H$210)</f>
        <v>n/a</v>
      </c>
      <c r="E89" s="95" t="str">
        <f>IF('Print Return'!$L$197=0,"n/a",'Print Return'!$H$211)</f>
        <v>n/a</v>
      </c>
      <c r="F89" s="95" t="str">
        <f>IF('Print Return'!$L$197=0,"n/a",'Print Return'!$H$212)</f>
        <v>n/a</v>
      </c>
      <c r="G89" s="95" t="str">
        <f>IF('Print Return'!$L$197=0,"n/a",'Print Return'!$H$213)</f>
        <v>n/a</v>
      </c>
      <c r="H89" s="1078" t="str">
        <f>IF('Print Return'!$L$197=0,"n/a",'Print Return'!$H$214)</f>
        <v>n/a</v>
      </c>
      <c r="I89" s="1079"/>
      <c r="J89" s="832">
        <f t="shared" si="3"/>
        <v>0</v>
      </c>
    </row>
    <row r="90" spans="2:10" x14ac:dyDescent="0.2">
      <c r="B90" s="1080" t="s">
        <v>1353</v>
      </c>
      <c r="C90" s="1080"/>
      <c r="D90" s="95" t="str">
        <f>IF('Print Return'!$L$198=0,"n/a",'Print Return'!$J$210)</f>
        <v>n/a</v>
      </c>
      <c r="E90" s="95" t="str">
        <f>IF('Print Return'!$L$198=0,"n/a",'Print Return'!$J$211)</f>
        <v>n/a</v>
      </c>
      <c r="F90" s="95" t="str">
        <f>IF('Print Return'!$L$198=0,"n/a",'Print Return'!$J$212)</f>
        <v>n/a</v>
      </c>
      <c r="G90" s="95" t="str">
        <f>IF('Print Return'!$L$198=0,"n/a",'Print Return'!$J$213)</f>
        <v>n/a</v>
      </c>
      <c r="H90" s="1078" t="str">
        <f>IF('Print Return'!$L$198=0,"n/a",'Print Return'!$J$214)</f>
        <v>n/a</v>
      </c>
      <c r="I90" s="1079"/>
      <c r="J90" s="96">
        <f t="shared" si="3"/>
        <v>0</v>
      </c>
    </row>
    <row r="91" spans="2:10" x14ac:dyDescent="0.2">
      <c r="B91" s="1080" t="s">
        <v>1354</v>
      </c>
      <c r="C91" s="1080"/>
      <c r="D91" s="95" t="str">
        <f>IF('Print Return'!$L$199=0,"n/a",'Print Return'!$M$210)</f>
        <v>n/a</v>
      </c>
      <c r="E91" s="95" t="str">
        <f>IF('Print Return'!$L$199=0,"n/a",'Print Return'!$M$211)</f>
        <v>n/a</v>
      </c>
      <c r="F91" s="95" t="str">
        <f>IF('Print Return'!$L$199=0,"n/a",'Print Return'!$M$212)</f>
        <v>n/a</v>
      </c>
      <c r="G91" s="95" t="str">
        <f>IF('Print Return'!$L$199=0,"n/a",'Print Return'!$M$213)</f>
        <v>n/a</v>
      </c>
      <c r="H91" s="1078" t="str">
        <f>IF('Print Return'!$L$199=0,"n/a",'Print Return'!$M$214)</f>
        <v>n/a</v>
      </c>
      <c r="I91" s="1079"/>
      <c r="J91" s="96">
        <f t="shared" si="3"/>
        <v>0</v>
      </c>
    </row>
    <row r="92" spans="2:10" x14ac:dyDescent="0.2">
      <c r="B92" s="1080" t="s">
        <v>1355</v>
      </c>
      <c r="C92" s="1080"/>
      <c r="D92" s="95" t="str">
        <f>IF(Data!$B$54&gt;0,ROUND(SUM('Complete This Page'!D89:D91)/Data!$B$54,6),"n/a")</f>
        <v>n/a</v>
      </c>
      <c r="E92" s="95" t="str">
        <f>IF(Data!$B$54&gt;0,ROUND(SUM('Complete This Page'!E89:E91)/Data!$B$54,6),"n/a")</f>
        <v>n/a</v>
      </c>
      <c r="F92" s="95" t="str">
        <f>IF(Data!$B$54&gt;0,ROUND(SUM('Complete This Page'!F89:F91)/Data!$B$54,6),"n/a")</f>
        <v>n/a</v>
      </c>
      <c r="G92" s="95" t="str">
        <f>IF(Data!$B$54&gt;0,ROUND(SUM('Complete This Page'!G89:G91)/Data!$B$54,6),"n/a")</f>
        <v>n/a</v>
      </c>
      <c r="H92" s="1078" t="str">
        <f>IF(Data!$B$54&gt;0,ROUND(SUM('Complete This Page'!H89:H91)/Data!$B$54,6),"n/a")</f>
        <v>n/a</v>
      </c>
      <c r="I92" s="1079"/>
      <c r="J92" s="96">
        <f t="shared" si="3"/>
        <v>0</v>
      </c>
    </row>
    <row r="93" spans="2:10" ht="15" customHeight="1" x14ac:dyDescent="0.2">
      <c r="B93" s="1082" t="str">
        <f>+Data!E252</f>
        <v/>
      </c>
      <c r="C93" s="1082"/>
      <c r="D93" s="1082"/>
      <c r="E93" s="1082"/>
      <c r="F93" s="1082"/>
      <c r="G93" s="1082"/>
      <c r="H93" s="1082"/>
      <c r="I93" s="1082"/>
      <c r="J93" s="1082"/>
    </row>
    <row r="94" spans="2:10" ht="30" customHeight="1" x14ac:dyDescent="0.25">
      <c r="B94" s="36" t="s">
        <v>1694</v>
      </c>
    </row>
    <row r="95" spans="2:10" ht="45.75" customHeight="1" x14ac:dyDescent="0.2">
      <c r="B95" s="1090" t="s">
        <v>537</v>
      </c>
      <c r="C95" s="1091"/>
      <c r="D95" s="1091"/>
      <c r="E95" s="1091"/>
      <c r="F95" s="1091"/>
      <c r="G95" s="1091"/>
      <c r="H95" s="1091"/>
      <c r="I95" s="1092"/>
      <c r="J95" s="835" t="s">
        <v>1669</v>
      </c>
    </row>
    <row r="96" spans="2:10" ht="27.75" customHeight="1" x14ac:dyDescent="0.2">
      <c r="B96" s="1093" t="str">
        <f>CONCATENATE(Data!$H262,Data!$H263,Data!$H264,Data!$H265,Data!$H266,IF(Data!F44="","",CONCATENATE("Cities that prohibit NOL's prior to 1/1/17: ",Data!F44,". ")),IF(Data!G44="","",CONCATENATE("NOL's restricted to 3 yrs prior to 1/1/17: ",Data!G44,". ")),IF(Data!H44="","",CONCATENATE("NOL's restricted to 1 yr prior to 1/1/17: ",Data!H44,".")))</f>
        <v/>
      </c>
      <c r="C96" s="1094"/>
      <c r="D96" s="1094"/>
      <c r="E96" s="1094"/>
      <c r="F96" s="1094"/>
      <c r="G96" s="1094"/>
      <c r="H96" s="1094"/>
      <c r="I96" s="1095"/>
      <c r="J96" s="836"/>
    </row>
    <row r="97" spans="1:13" ht="25.5" customHeight="1" x14ac:dyDescent="0.2">
      <c r="B97" s="1088" t="s">
        <v>532</v>
      </c>
      <c r="C97" s="1089"/>
      <c r="D97" s="1097" t="s">
        <v>379</v>
      </c>
      <c r="E97" s="1097"/>
      <c r="F97" s="1097"/>
      <c r="G97" s="1097"/>
      <c r="H97" s="1097"/>
      <c r="I97" s="1097"/>
      <c r="J97" s="1107" t="s">
        <v>1692</v>
      </c>
      <c r="K97" s="978"/>
    </row>
    <row r="98" spans="1:13" x14ac:dyDescent="0.2">
      <c r="B98" s="1085" t="s">
        <v>3</v>
      </c>
      <c r="C98" s="1086"/>
      <c r="D98" s="35">
        <f>IF(AND(G11="",J11=""),"",IF($G$11&lt;&gt;"",$G$11-5,YEAR($J$11)-6))</f>
        <v>2013</v>
      </c>
      <c r="E98" s="35">
        <f>IF(AND(G11="",J11=""),"",IF($G$11&lt;&gt;"",$G$11-4,YEAR($J$11)-5))</f>
        <v>2014</v>
      </c>
      <c r="F98" s="35">
        <f>IF(AND(G11="",J11=""),"",IF($G$11&lt;&gt;"",$G$11-3,YEAR($J$11)-4))</f>
        <v>2015</v>
      </c>
      <c r="G98" s="35">
        <f>IF(AND(G11="",J11=""),"",IF($G$11&lt;&gt;"",$G$11-2,YEAR($J$11)-3))</f>
        <v>2016</v>
      </c>
      <c r="H98" s="1015">
        <f>IF(AND(G11="",J11=""),"",IF($G$11&lt;&gt;"",$G$11-1,YEAR($J$11)-2))</f>
        <v>2017</v>
      </c>
      <c r="I98" s="1016"/>
      <c r="J98" s="1108"/>
      <c r="K98" s="978"/>
    </row>
    <row r="99" spans="1:13" x14ac:dyDescent="0.2">
      <c r="B99" s="1020" t="str">
        <f>IF(Data!$A$40&lt;&gt;0,Data!$A$40,"")</f>
        <v/>
      </c>
      <c r="C99" s="1021"/>
      <c r="D99" s="833"/>
      <c r="E99" s="932"/>
      <c r="F99" s="39"/>
      <c r="G99" s="39"/>
      <c r="H99" s="1010"/>
      <c r="I99" s="1011"/>
      <c r="J99" s="833"/>
      <c r="K99" s="24"/>
      <c r="L99" s="815">
        <f>IF(Data!D$33=FALSE,SUM(IF(D98&gt;=2017,D99,0),IF(E98&gt;=2017,E99,0),IF(F98&gt;=2017,F99,0),IF(G98&gt;=2017,G99,0),IF(H98&gt;=2017,H99,0)),0)</f>
        <v>0</v>
      </c>
      <c r="M99" s="834">
        <f>IF(Data!C33=0,0,IF(Data!C33=3,SUM(IF(F98&lt;2017,F99,0),IF(G98&lt;2017,G99,0),IF(H98&lt;2017,H99,0)),IF(Data!C33=1,IF(H98&lt;2017,H99,0),SUM(IF(D98&lt;2017,D99,0),IF(E98&lt;2017,E99,0),IF(F98&lt;2017,F99,0),IF(G98&lt;2017,G99,0),IF(H98&lt;2017,H99,0))))) - J99</f>
        <v>0</v>
      </c>
    </row>
    <row r="100" spans="1:13" x14ac:dyDescent="0.2">
      <c r="B100" s="1020" t="str">
        <f>IF(Data!A$41&lt;&gt;0,Data!A$41,"")</f>
        <v/>
      </c>
      <c r="C100" s="1021"/>
      <c r="D100" s="932"/>
      <c r="E100" s="932"/>
      <c r="F100" s="39"/>
      <c r="G100" s="793"/>
      <c r="H100" s="1010"/>
      <c r="I100" s="1011"/>
      <c r="J100" s="833"/>
      <c r="K100" s="24"/>
      <c r="L100" s="815">
        <f>IF(Data!D$34=FALSE,SUM(IF(D98&gt;=2017,D100,0),IF(E98&gt;=2017,E100,0),IF(F98&gt;=2017,F100,0),IF(G98&gt;=2017,G100,0),IF(H98&gt;=2017,H100,0)),0)</f>
        <v>0</v>
      </c>
      <c r="M100" s="834">
        <f>IF(Data!C34=0,0,IF(Data!C34=3,SUM(IF(F98&lt;2017,F100,0),IF(G98&lt;2017,G100,0),IF(H98&lt;2017,H100,0)),IF(Data!C34=1,IF(H98&lt;2017,H100,0),SUM(IF(D98&lt;2017,D100,0),IF(E98&lt;2017,E100,0),IF(F98&lt;2017,F100,0),IF(G98&lt;2017,G100,0),IF(H98&lt;2017,H100,0))))) - J100</f>
        <v>0</v>
      </c>
    </row>
    <row r="101" spans="1:13" x14ac:dyDescent="0.2">
      <c r="B101" s="1020" t="str">
        <f>IF(Data!A$42&lt;&gt;0,Data!A$42,"")</f>
        <v/>
      </c>
      <c r="C101" s="1021"/>
      <c r="D101" s="932"/>
      <c r="E101" s="932"/>
      <c r="F101" s="39"/>
      <c r="G101" s="821"/>
      <c r="H101" s="1010"/>
      <c r="I101" s="1011"/>
      <c r="J101" s="833"/>
      <c r="K101" s="24"/>
      <c r="L101" s="815">
        <f>IF(Data!D$35=FALSE,SUM(IF(D98&gt;=2017,D101,0),IF(E98&gt;=2017,E101,0),IF(F98&gt;=2017,F101,0),IF(G98&gt;=2017,G101,0),IF(H98&gt;=2017,H101,0)),0)</f>
        <v>0</v>
      </c>
      <c r="M101" s="834">
        <f>IF(Data!C35=0,0,IF(Data!C35=3,SUM(IF(F98&lt;2017,F101,0),IF(G98&lt;2017,G101,0),IF(H98&lt;2017,H101,0)),IF(Data!C35=1,IF(H98&lt;2017,H101,0),SUM(IF(D98&lt;2017,D101,0),IF(E98&lt;2017,E101,0),IF(F98&lt;2017,F101,0),IF(G98&lt;2017,G101,0),IF(H98&lt;2017,H101,0))))) - J101</f>
        <v>0</v>
      </c>
    </row>
    <row r="102" spans="1:13" x14ac:dyDescent="0.2">
      <c r="B102" s="1020" t="str">
        <f>IF(Data!A$43&lt;&gt;0,Data!A$43,"")</f>
        <v/>
      </c>
      <c r="C102" s="1021"/>
      <c r="D102" s="932"/>
      <c r="E102" s="932"/>
      <c r="F102" s="837"/>
      <c r="G102" s="793"/>
      <c r="H102" s="1010"/>
      <c r="I102" s="1011"/>
      <c r="J102" s="833"/>
      <c r="K102" s="24"/>
      <c r="L102" s="815">
        <f>IF(Data!D$36=FALSE,SUM(IF(D98&gt;=2017,D102,0),IF(E98&gt;=2017,E102,0),IF(F98&gt;=2017,F102,0),IF(G98&gt;=2017,G102,0),IF(H98&gt;=2017,H102,0)),0)</f>
        <v>0</v>
      </c>
      <c r="M102" s="834">
        <f>IF(Data!C36=0,0,IF(Data!C36=3,SUM(IF(F98&lt;2017,F102,0),IF(G98&lt;2017,G102,0),IF(H98&lt;2017,H102,0)),IF(Data!C36=1,IF(H98&lt;2017,H102,0),SUM(IF(D98&lt;2017,D102,0),IF(E98&lt;2017,E102,0),IF(F98&lt;2017,F102,0),IF(G98&lt;2017,G102,0),IF(H98&lt;2017,H102,0))))) - J102</f>
        <v>0</v>
      </c>
    </row>
    <row r="103" spans="1:13" x14ac:dyDescent="0.2">
      <c r="B103" s="1020" t="str">
        <f>IF(Data!A$44&lt;&gt;0,Data!A$44,"")</f>
        <v/>
      </c>
      <c r="C103" s="1021"/>
      <c r="D103" s="932"/>
      <c r="E103" s="932"/>
      <c r="F103" s="39"/>
      <c r="G103" s="793"/>
      <c r="H103" s="1010"/>
      <c r="I103" s="1011"/>
      <c r="J103" s="833"/>
      <c r="K103" s="24"/>
      <c r="L103" s="815">
        <f>IF(Data!D$37=FALSE,SUM(IF(D98&gt;=2017,D103,0),IF(E98&gt;=2017,E103,0),IF(F98&gt;=2017,F103,0),IF(G98&gt;=2017,G103,0),IF(H98&gt;=2017,H103,0)),0)</f>
        <v>0</v>
      </c>
      <c r="M103" s="834">
        <f>IF(Data!C37=0,0,IF(Data!C37=3,SUM(IF(F98&lt;2017,F102,0),IF(G98&lt;2017,G103,0),IF(H98&lt;2017,H103,0)),IF(Data!C37=1,IF(H98&lt;2017,H103,0),SUM(IF(D98&lt;2017,D103,0),IF(E98&lt;2017,E103,0),IF(F98&lt;2017,F103,0),IF(G98&lt;2017,G103,0),IF(H98&lt;2017,H103,0))))) - J103</f>
        <v>0</v>
      </c>
    </row>
    <row r="104" spans="1:13" ht="9.75" customHeight="1" x14ac:dyDescent="0.2">
      <c r="B104" s="1013" t="str">
        <f>IF(OR(M99&lt;0, M100&lt;0, M101&lt;0, M102&lt;0, M103&lt;0)=TRUE,"NOL utilized on this return exceeds unused NOL for some municipalities; ","")</f>
        <v/>
      </c>
      <c r="C104" s="1014"/>
      <c r="D104" s="1014"/>
      <c r="E104" s="1014"/>
      <c r="F104" s="1014"/>
      <c r="G104" s="1014"/>
      <c r="H104" s="1014"/>
      <c r="I104" s="1014"/>
      <c r="J104" s="1014"/>
    </row>
    <row r="105" spans="1:13" ht="15" customHeight="1" x14ac:dyDescent="0.2">
      <c r="B105" s="1116" t="str">
        <f>IF(OR(D99&lt;0,D100&lt;0,D101&lt;0,D102&lt;0,D103&lt;0,E99&lt;0,E100&lt;0,E101&lt;0,E102&lt;0,E103&lt;0,F99&lt;0,F100&lt;0,F101&lt;0,F102&lt;0,F103&lt;0,G99&lt;0,G100&lt;0,G101&lt;0,G102&lt;0,G103&lt;0,H99&lt;0,H100&lt;0,H101&lt;0,H102&lt;0,H103&lt;0),"Do not enter net operating losses as negative numbers.","")</f>
        <v/>
      </c>
      <c r="C105" s="1116"/>
      <c r="D105" s="1116"/>
      <c r="E105" s="1116"/>
      <c r="F105" s="1116"/>
      <c r="G105" s="1116"/>
      <c r="H105" s="1116"/>
      <c r="I105" s="1116"/>
      <c r="J105" s="1116"/>
    </row>
    <row r="106" spans="1:13" s="1" customFormat="1" ht="18" x14ac:dyDescent="0.25">
      <c r="B106" s="36" t="s">
        <v>1695</v>
      </c>
      <c r="C106" s="120"/>
      <c r="D106" s="120"/>
      <c r="E106" s="120"/>
      <c r="F106" s="120"/>
      <c r="G106" s="121"/>
      <c r="H106" s="122"/>
      <c r="I106" s="782"/>
      <c r="J106" s="122"/>
    </row>
    <row r="107" spans="1:13" ht="42" customHeight="1" x14ac:dyDescent="0.2">
      <c r="B107" s="1027" t="s">
        <v>1693</v>
      </c>
      <c r="C107" s="1028"/>
      <c r="D107" s="35">
        <f>IF(AND(G11="",J11=""),"",IF($G$11&lt;&gt;"",$G$11-5,YEAR($J$11)-6))</f>
        <v>2013</v>
      </c>
      <c r="E107" s="35">
        <f>IF(AND(G11="",J11=""),"",IF($G$11&lt;&gt;"",$G$11-4,YEAR($J$11)-5))</f>
        <v>2014</v>
      </c>
      <c r="F107" s="35">
        <f>IF(AND(G11="",121=""),"",IF($G$11&lt;&gt;"",$G$11-3,YEAR($J$11)-4))</f>
        <v>2015</v>
      </c>
      <c r="G107" s="35">
        <f>IF(AND(G11="",J11=""),"",IF($G$11&lt;&gt;"",$G$11-2,YEAR($J$11)-3))</f>
        <v>2016</v>
      </c>
      <c r="H107" s="1015">
        <f>IF(AND(G11="",J11=""),"",IF($G$11&lt;&gt;"",$G$11-1,YEAR($J$11)-2))</f>
        <v>2017</v>
      </c>
      <c r="I107" s="1016"/>
      <c r="J107" s="817" t="s">
        <v>1691</v>
      </c>
      <c r="K107" s="795" t="s">
        <v>1692</v>
      </c>
    </row>
    <row r="108" spans="1:13" x14ac:dyDescent="0.2">
      <c r="B108" s="1029"/>
      <c r="C108" s="1030"/>
      <c r="D108" s="793"/>
      <c r="E108" s="793"/>
      <c r="F108" s="793"/>
      <c r="G108" s="793"/>
      <c r="H108" s="1010"/>
      <c r="I108" s="1011"/>
      <c r="J108" s="818">
        <f>IF(Overflow!F112&gt;0,Overflow!F112,SUM(D108:I108))</f>
        <v>0</v>
      </c>
      <c r="K108" s="819"/>
      <c r="L108" s="815">
        <f>IF(Data!D$33=FALSE,SUM(IF(D107&gt;=2017,D108,0),IF(E107&gt;=2017,E108,0),IF(F107&gt;=2017,F108,0),IF(G107&gt;=2017,G108,0),IF(H107&gt;=2017,H108,0)),0)</f>
        <v>0</v>
      </c>
    </row>
    <row r="109" spans="1:13" s="1" customFormat="1" ht="35.25" customHeight="1" x14ac:dyDescent="0.2">
      <c r="A109" s="794"/>
      <c r="B109" s="1043" t="str">
        <f>CONCATENATE(IF(Overflow!F112&gt;0,"Total Unutilized NOL from Overflow tab, Line 112. ",""),IF(B110=TRUE,CONCATENATE("The maximum value for NOL 'Utilized on this return' that can be entered in cell K108 cannot exceed ",TEXT(K110, "$#,##0"),"."),CONCATENATE("The maximum amount of NOL ",TEXT(K110, "$#,##0"), " was automatically applied. If you wish to enter a smaller NOL value, please type it in the cell K108 to overwrite.")))</f>
        <v>The maximum amount of NOL $0 was automatically applied. If you wish to enter a smaller NOL value, please type it in the cell K108 to overwrite.</v>
      </c>
      <c r="C109" s="1043"/>
      <c r="D109" s="1043"/>
      <c r="E109" s="1043"/>
      <c r="F109" s="1043"/>
      <c r="G109" s="1043"/>
      <c r="H109" s="1044"/>
      <c r="I109" s="1044"/>
      <c r="J109" s="1045"/>
      <c r="K109" s="1045"/>
    </row>
    <row r="110" spans="1:13" s="1" customFormat="1" ht="13.5" customHeight="1" x14ac:dyDescent="0.2">
      <c r="B110" s="1025" t="b">
        <f>IF(ISNUMBER(K108)=TRUE,IF(OR(AND(Data!$D$33=FALSE,OR(K108&gt;J108*0.5,K108&gt;'Print Return'!L37*0.5)),AND(Data!$D$33=TRUE,K108&gt;='Print NOL Worksheet'!J24+1))=TRUE,TRUE,FALSE),FALSE)</f>
        <v>0</v>
      </c>
      <c r="C110" s="1026"/>
      <c r="D110" s="1026"/>
      <c r="E110" s="1026"/>
      <c r="F110" s="1026"/>
      <c r="G110" s="1026"/>
      <c r="H110" s="1026"/>
      <c r="I110" s="1026"/>
      <c r="J110" s="1026"/>
      <c r="K110" s="799">
        <f>MAX(0,IF(Data!$D$33=TRUE,ROUND(MIN(J108,'Print NOL Worksheet'!I24),0),ROUND(MIN((J108-1)*0.5,('Print Return'!L37-1)*0.5),0)))</f>
        <v>0</v>
      </c>
    </row>
    <row r="111" spans="1:13" ht="16.5" customHeight="1" x14ac:dyDescent="0.25">
      <c r="B111" s="36" t="s">
        <v>531</v>
      </c>
      <c r="J111" s="194" t="str">
        <f>IF(Data!F9=TRUE,"Skip: C-Corp","")</f>
        <v/>
      </c>
    </row>
    <row r="112" spans="1:13" s="784" customFormat="1" ht="61.5" customHeight="1" x14ac:dyDescent="0.2">
      <c r="B112" s="1040" t="s">
        <v>295</v>
      </c>
      <c r="C112" s="1041"/>
      <c r="D112" s="1041"/>
      <c r="E112" s="1041"/>
      <c r="F112" s="1041"/>
      <c r="G112" s="1041"/>
      <c r="H112" s="1041"/>
      <c r="I112" s="1041"/>
      <c r="J112" s="1042"/>
    </row>
    <row r="113" spans="1:10" ht="35.1" customHeight="1" x14ac:dyDescent="0.2">
      <c r="B113" s="1017" t="s">
        <v>296</v>
      </c>
      <c r="C113" s="1018"/>
      <c r="D113" s="1018"/>
      <c r="E113" s="1018"/>
      <c r="F113" s="1018"/>
      <c r="G113" s="1018"/>
      <c r="H113" s="1018"/>
      <c r="I113" s="1018"/>
      <c r="J113" s="1019"/>
    </row>
    <row r="114" spans="1:10" ht="35.1" customHeight="1" x14ac:dyDescent="0.2">
      <c r="B114" s="1017" t="s">
        <v>963</v>
      </c>
      <c r="C114" s="1018"/>
      <c r="D114" s="1018"/>
      <c r="E114" s="1018"/>
      <c r="F114" s="1018"/>
      <c r="G114" s="1018"/>
      <c r="H114" s="1018"/>
      <c r="I114" s="1018"/>
      <c r="J114" s="1019"/>
    </row>
    <row r="115" spans="1:10" ht="21.95" customHeight="1" x14ac:dyDescent="0.2">
      <c r="B115" s="1017" t="s">
        <v>406</v>
      </c>
      <c r="C115" s="1018"/>
      <c r="D115" s="1018"/>
      <c r="E115" s="1018"/>
      <c r="F115" s="1018"/>
      <c r="G115" s="1018"/>
      <c r="H115" s="1018"/>
      <c r="I115" s="1018"/>
      <c r="J115" s="1019"/>
    </row>
    <row r="116" spans="1:10" s="31" customFormat="1" x14ac:dyDescent="0.2">
      <c r="A116" s="67"/>
      <c r="B116" s="1022" t="str">
        <f>IF(OR(J119&lt;&gt;0,J120&lt;&gt;0,J121&lt;&gt;0,J122&lt;&gt;0),IF(Data!F9=TRUE,"Error: The schedule below should be blank for C corporations.  Attach federal schedules.",""),"")</f>
        <v/>
      </c>
      <c r="C116" s="1023"/>
      <c r="D116" s="1023"/>
      <c r="E116" s="1023"/>
      <c r="F116" s="1023"/>
      <c r="G116" s="1023"/>
      <c r="H116" s="1023"/>
      <c r="I116" s="1023"/>
      <c r="J116" s="1024"/>
    </row>
    <row r="117" spans="1:10" x14ac:dyDescent="0.2">
      <c r="B117" s="1031" t="s">
        <v>380</v>
      </c>
      <c r="C117" s="1032"/>
      <c r="D117" s="1035" t="s">
        <v>378</v>
      </c>
      <c r="E117" s="1035"/>
      <c r="F117" s="1035"/>
      <c r="G117" s="1035"/>
      <c r="H117" s="1035"/>
      <c r="I117" s="1035"/>
      <c r="J117" s="1036" t="s">
        <v>1</v>
      </c>
    </row>
    <row r="118" spans="1:10" x14ac:dyDescent="0.2">
      <c r="B118" s="1033"/>
      <c r="C118" s="1034"/>
      <c r="D118" s="35">
        <f>IF(AND(G11="",J11=""),"",IF($G$11&lt;&gt;"",$G$11-5,YEAR($J$11)-6))</f>
        <v>2013</v>
      </c>
      <c r="E118" s="35">
        <f>IF(AND(G11="",J11=""),"",IF($G$11&lt;&gt;"",$G$11-4,YEAR($J$11)-5))</f>
        <v>2014</v>
      </c>
      <c r="F118" s="35">
        <f>IF(AND(G11="",J11=""),"",IF($G$11&lt;&gt;"",$G$11-3,YEAR($J$11)-4))</f>
        <v>2015</v>
      </c>
      <c r="G118" s="35">
        <f>IF(AND(G11="",J11=""),"",IF($G$11&lt;&gt;"",$G$11-2,YEAR($J$11)-3))</f>
        <v>2016</v>
      </c>
      <c r="H118" s="1015">
        <f>IF(AND(G11="",J11=""),"",IF($G$11&lt;&gt;"",$G$11-1,YEAR($J$11)-2))</f>
        <v>2017</v>
      </c>
      <c r="I118" s="1016"/>
      <c r="J118" s="1037"/>
    </row>
    <row r="119" spans="1:10" x14ac:dyDescent="0.2">
      <c r="B119" s="1012" t="s">
        <v>5</v>
      </c>
      <c r="C119" s="1012"/>
      <c r="D119" s="39"/>
      <c r="E119" s="39"/>
      <c r="F119" s="39"/>
      <c r="G119" s="39"/>
      <c r="H119" s="1010"/>
      <c r="I119" s="1011"/>
      <c r="J119" s="37">
        <f>SUM(D119:I119)</f>
        <v>0</v>
      </c>
    </row>
    <row r="120" spans="1:10" x14ac:dyDescent="0.2">
      <c r="B120" s="1012" t="s">
        <v>6</v>
      </c>
      <c r="C120" s="1012"/>
      <c r="D120" s="39"/>
      <c r="E120" s="39"/>
      <c r="F120" s="39"/>
      <c r="G120" s="39"/>
      <c r="H120" s="1010"/>
      <c r="I120" s="1011"/>
      <c r="J120" s="37">
        <f>SUM(D120:I120)</f>
        <v>0</v>
      </c>
    </row>
    <row r="121" spans="1:10" x14ac:dyDescent="0.2">
      <c r="B121" s="1038" t="s">
        <v>460</v>
      </c>
      <c r="C121" s="1039"/>
      <c r="D121" s="39"/>
      <c r="E121" s="39"/>
      <c r="F121" s="39"/>
      <c r="G121" s="39"/>
      <c r="H121" s="1010"/>
      <c r="I121" s="1011"/>
      <c r="J121" s="37">
        <f>SUM(D121:I121)</f>
        <v>0</v>
      </c>
    </row>
    <row r="122" spans="1:10" x14ac:dyDescent="0.2">
      <c r="B122" s="1126" t="s">
        <v>964</v>
      </c>
      <c r="C122" s="1012"/>
      <c r="D122" s="39"/>
      <c r="E122" s="39"/>
      <c r="F122" s="39"/>
      <c r="G122" s="39"/>
      <c r="H122" s="1010"/>
      <c r="I122" s="1011"/>
      <c r="J122" s="37">
        <f>SUM(D122:I122)</f>
        <v>0</v>
      </c>
    </row>
    <row r="123" spans="1:10" x14ac:dyDescent="0.2">
      <c r="B123" s="1114" t="s">
        <v>407</v>
      </c>
      <c r="C123" s="1114"/>
      <c r="D123" s="39"/>
      <c r="E123" s="39"/>
      <c r="F123" s="39"/>
      <c r="G123" s="39"/>
      <c r="H123" s="1010"/>
      <c r="I123" s="1011"/>
      <c r="J123" s="37">
        <f>SUM(D123:I123)</f>
        <v>0</v>
      </c>
    </row>
    <row r="124" spans="1:10" x14ac:dyDescent="0.2">
      <c r="B124" s="1122" t="s">
        <v>1637</v>
      </c>
      <c r="C124" s="1125"/>
      <c r="D124" s="1125"/>
      <c r="E124" s="1125"/>
      <c r="F124" s="1125"/>
      <c r="G124" s="1125"/>
      <c r="H124" s="1125"/>
      <c r="I124" s="1125"/>
      <c r="J124" s="1125"/>
    </row>
    <row r="125" spans="1:10" x14ac:dyDescent="0.2">
      <c r="B125" s="1118" t="str">
        <f>IF(OR(D119&lt;0,D120&lt;0,D121&lt;0,D122&lt;0,E119&lt;0,E120&lt;0,E121&lt;0,E122&lt;0,F119&lt;0,F120&lt;0,F121&lt;0,F122&lt;0,G119&lt;0,G120&lt;0,G121&lt;0,G122&lt;0,H119&lt;0,H120&lt;0,H121&lt;0,H122&lt;0),"Do not enter any federal carryover as a negative number.","")</f>
        <v/>
      </c>
      <c r="C125" s="1118"/>
      <c r="D125" s="1118"/>
      <c r="E125" s="1118"/>
      <c r="F125" s="1118"/>
      <c r="G125" s="1118"/>
      <c r="H125" s="1118"/>
      <c r="I125" s="1118"/>
      <c r="J125" s="1118"/>
    </row>
    <row r="126" spans="1:10" s="1" customFormat="1" ht="18" x14ac:dyDescent="0.25">
      <c r="B126" s="36" t="s">
        <v>461</v>
      </c>
    </row>
    <row r="127" spans="1:10" s="1" customFormat="1" ht="21.95" customHeight="1" x14ac:dyDescent="0.2">
      <c r="B127" s="1130" t="s">
        <v>657</v>
      </c>
      <c r="C127" s="1130"/>
      <c r="D127" s="1130"/>
      <c r="E127" s="1130"/>
      <c r="F127" s="192" t="s">
        <v>57</v>
      </c>
      <c r="G127" s="116" t="s">
        <v>62</v>
      </c>
      <c r="H127" s="1124" t="s">
        <v>63</v>
      </c>
      <c r="I127" s="1124"/>
      <c r="J127" s="115" t="s">
        <v>58</v>
      </c>
    </row>
    <row r="128" spans="1:10" s="1" customFormat="1" ht="11.25" x14ac:dyDescent="0.2">
      <c r="B128" s="1131" t="str">
        <f>IF(Data!B11=TRUE,"Partners' Names &amp; Addresses","Skip This Section")</f>
        <v>Skip This Section</v>
      </c>
      <c r="C128" s="1131"/>
      <c r="D128" s="1131"/>
      <c r="E128" s="1131"/>
      <c r="F128" s="193" t="s">
        <v>59</v>
      </c>
      <c r="G128" s="111" t="str">
        <f>+References!C293</f>
        <v>Sched K-1, Ln J</v>
      </c>
      <c r="H128" s="1132" t="str">
        <f>+References!C294</f>
        <v>Sched K-1, Ln L</v>
      </c>
      <c r="I128" s="1132"/>
      <c r="J128" s="117" t="str">
        <f>+References!C295</f>
        <v>Sched K-1, Ln 4</v>
      </c>
    </row>
    <row r="129" spans="2:10" s="1" customFormat="1" x14ac:dyDescent="0.2">
      <c r="B129" s="1129"/>
      <c r="C129" s="1129"/>
      <c r="D129" s="1129"/>
      <c r="E129" s="1129"/>
      <c r="F129" s="113"/>
      <c r="G129" s="112"/>
      <c r="H129" s="1119"/>
      <c r="I129" s="1119"/>
      <c r="J129" s="114"/>
    </row>
    <row r="130" spans="2:10" s="1" customFormat="1" x14ac:dyDescent="0.2">
      <c r="B130" s="1129"/>
      <c r="C130" s="1129"/>
      <c r="D130" s="1129"/>
      <c r="E130" s="1129"/>
      <c r="F130" s="113"/>
      <c r="G130" s="112"/>
      <c r="H130" s="1119"/>
      <c r="I130" s="1119"/>
      <c r="J130" s="114"/>
    </row>
    <row r="131" spans="2:10" s="1" customFormat="1" x14ac:dyDescent="0.2">
      <c r="B131" s="1129"/>
      <c r="C131" s="1129"/>
      <c r="D131" s="1129"/>
      <c r="E131" s="1129"/>
      <c r="F131" s="113"/>
      <c r="G131" s="112"/>
      <c r="H131" s="1119"/>
      <c r="I131" s="1119"/>
      <c r="J131" s="114"/>
    </row>
    <row r="132" spans="2:10" s="1" customFormat="1" x14ac:dyDescent="0.2">
      <c r="B132" s="1129"/>
      <c r="C132" s="1129"/>
      <c r="D132" s="1129"/>
      <c r="E132" s="1129"/>
      <c r="F132" s="113"/>
      <c r="G132" s="112"/>
      <c r="H132" s="1119"/>
      <c r="I132" s="1119"/>
      <c r="J132" s="114"/>
    </row>
    <row r="133" spans="2:10" s="1" customFormat="1" x14ac:dyDescent="0.2">
      <c r="B133" s="1129"/>
      <c r="C133" s="1129"/>
      <c r="D133" s="1129"/>
      <c r="E133" s="1129"/>
      <c r="F133" s="113"/>
      <c r="G133" s="112"/>
      <c r="H133" s="1119"/>
      <c r="I133" s="1119"/>
      <c r="J133" s="114"/>
    </row>
    <row r="134" spans="2:10" s="1" customFormat="1" ht="11.25" x14ac:dyDescent="0.2">
      <c r="B134" s="1122" t="str">
        <f>IF(AND(Data!B11=TRUE,G134&lt;&gt;1),"Warning: Ownership Percentages Do Not Total 100%.","")</f>
        <v/>
      </c>
      <c r="C134" s="1122"/>
      <c r="D134" s="1122"/>
      <c r="E134" s="1122"/>
      <c r="F134" s="1123"/>
      <c r="G134" s="118">
        <f>SUM(G129:G133)</f>
        <v>0</v>
      </c>
      <c r="H134" s="1120">
        <f>SUM(H129:I133)</f>
        <v>0</v>
      </c>
      <c r="I134" s="1121"/>
      <c r="J134" s="119">
        <f>SUM(J129:J133)</f>
        <v>0</v>
      </c>
    </row>
    <row r="135" spans="2:10" s="1" customFormat="1" ht="11.25" x14ac:dyDescent="0.2">
      <c r="B135" s="120"/>
      <c r="C135" s="120"/>
      <c r="D135" s="120"/>
      <c r="E135" s="120"/>
      <c r="F135" s="120"/>
      <c r="G135" s="121"/>
      <c r="H135" s="122"/>
      <c r="I135" s="61"/>
      <c r="J135" s="122"/>
    </row>
    <row r="136" spans="2:10" s="1" customFormat="1" ht="18" x14ac:dyDescent="0.25">
      <c r="B136" s="36" t="s">
        <v>1143</v>
      </c>
      <c r="C136" s="120"/>
      <c r="D136" s="120"/>
      <c r="E136" s="120"/>
      <c r="F136" s="120"/>
      <c r="G136" s="121"/>
      <c r="H136" s="122"/>
      <c r="I136" s="61"/>
      <c r="J136" s="122"/>
    </row>
    <row r="137" spans="2:10" s="1" customFormat="1" ht="23.1" customHeight="1" x14ac:dyDescent="0.2">
      <c r="B137" s="1115" t="str">
        <f>+Data!E180</f>
        <v>Complete this section to reconcile the wages reported on your Federal return to the local RITA wages reported by your payroll department throughout the year 2018.</v>
      </c>
      <c r="C137" s="1115"/>
      <c r="D137" s="1115"/>
      <c r="E137" s="1115"/>
      <c r="F137" s="1115"/>
      <c r="G137" s="1115"/>
      <c r="H137" s="1115"/>
      <c r="I137" s="1115"/>
      <c r="J137" s="1115"/>
    </row>
    <row r="138" spans="2:10" s="1" customFormat="1" ht="22.5" customHeight="1" x14ac:dyDescent="0.2">
      <c r="B138" s="1112" t="str">
        <f>CONCATENATE("Total RITA WORKPLACE wages shown on your withholding tax returns (Forms 11) for period covered by this return (",Data!E176,Data!E179,").")</f>
        <v>Total RITA WORKPLACE wages shown on your withholding tax returns (Forms 11) for period covered by this return (year 2018).</v>
      </c>
      <c r="C138" s="1112"/>
      <c r="D138" s="1112"/>
      <c r="E138" s="1112"/>
      <c r="F138" s="1112"/>
      <c r="G138" s="1113"/>
      <c r="H138" s="38">
        <v>1</v>
      </c>
      <c r="I138" s="1127"/>
      <c r="J138" s="1128"/>
    </row>
    <row r="139" spans="2:10" s="1" customFormat="1" ht="11.25" x14ac:dyDescent="0.2">
      <c r="B139" s="1110" t="s">
        <v>1157</v>
      </c>
      <c r="C139" s="1110"/>
      <c r="D139" s="1110"/>
      <c r="E139" s="1110"/>
      <c r="F139" s="1110"/>
      <c r="G139" s="1111"/>
      <c r="H139" s="277">
        <f>+H138+1</f>
        <v>2</v>
      </c>
      <c r="I139" s="1127">
        <f>+D87</f>
        <v>0</v>
      </c>
      <c r="J139" s="1128"/>
    </row>
    <row r="140" spans="2:10" s="1" customFormat="1" ht="11.25" x14ac:dyDescent="0.2">
      <c r="B140" s="105"/>
      <c r="C140" s="105"/>
      <c r="D140" s="105"/>
      <c r="E140" s="105"/>
      <c r="F140" s="105"/>
      <c r="G140" s="105"/>
      <c r="H140" s="278"/>
      <c r="I140" s="279"/>
      <c r="J140" s="279"/>
    </row>
    <row r="141" spans="2:10" s="1" customFormat="1" ht="22.5" customHeight="1" x14ac:dyDescent="0.2">
      <c r="B141" s="1077" t="s">
        <v>491</v>
      </c>
      <c r="C141" s="1077"/>
      <c r="D141" s="115" t="s">
        <v>1155</v>
      </c>
      <c r="E141" s="115" t="s">
        <v>1156</v>
      </c>
      <c r="F141" s="115" t="s">
        <v>1154</v>
      </c>
      <c r="G141" s="1143" t="str">
        <f>IF(Data!B175=TRUE,Data!E191,Data!E200)</f>
        <v/>
      </c>
      <c r="H141" s="1144"/>
      <c r="I141" s="1144"/>
      <c r="J141" s="1144"/>
    </row>
    <row r="142" spans="2:10" s="1" customFormat="1" x14ac:dyDescent="0.2">
      <c r="B142" s="1020">
        <f>IF(Data!$A$40&lt;&gt;0,Data!$A$40,Data!A40)</f>
        <v>0</v>
      </c>
      <c r="C142" s="1021"/>
      <c r="D142" s="132" t="str">
        <f>IF(D87="","",D87)</f>
        <v/>
      </c>
      <c r="E142" s="281"/>
      <c r="F142" s="280" t="str">
        <f>IF(AND(D142="",E142=""),"",Data!F183)</f>
        <v/>
      </c>
      <c r="G142" s="1143"/>
      <c r="H142" s="1144"/>
      <c r="I142" s="1144"/>
      <c r="J142" s="1144"/>
    </row>
    <row r="143" spans="2:10" s="1" customFormat="1" x14ac:dyDescent="0.2">
      <c r="B143" s="1020" t="str">
        <f>IF(Data!A$41&lt;&gt;0,Data!A$41,"")</f>
        <v/>
      </c>
      <c r="C143" s="1021"/>
      <c r="D143" s="132" t="str">
        <f>IF(E87="","",E87)</f>
        <v/>
      </c>
      <c r="E143" s="281"/>
      <c r="F143" s="280" t="str">
        <f>IF(AND(D143="",E143=""),"",Data!F184)</f>
        <v/>
      </c>
      <c r="G143" s="1143"/>
      <c r="H143" s="1144"/>
      <c r="I143" s="1144"/>
      <c r="J143" s="1144"/>
    </row>
    <row r="144" spans="2:10" s="1" customFormat="1" x14ac:dyDescent="0.2">
      <c r="B144" s="1020" t="str">
        <f>IF(Data!A$42&lt;&gt;0,Data!A$42,"")</f>
        <v/>
      </c>
      <c r="C144" s="1021"/>
      <c r="D144" s="132" t="str">
        <f>IF(F87="","",F87)</f>
        <v/>
      </c>
      <c r="E144" s="281"/>
      <c r="F144" s="280" t="str">
        <f>IF(AND(D144="",E144=""),"",Data!F185)</f>
        <v/>
      </c>
      <c r="G144" s="1143"/>
      <c r="H144" s="1144"/>
      <c r="I144" s="1144"/>
      <c r="J144" s="1144"/>
    </row>
    <row r="145" spans="2:10" s="1" customFormat="1" x14ac:dyDescent="0.2">
      <c r="B145" s="1020" t="str">
        <f>IF(Data!A$43&lt;&gt;0,Data!A$43,"")</f>
        <v/>
      </c>
      <c r="C145" s="1021"/>
      <c r="D145" s="132" t="str">
        <f>IF(G87="","",G87)</f>
        <v/>
      </c>
      <c r="E145" s="281"/>
      <c r="F145" s="280" t="str">
        <f>IF(AND(D145="",E145=""),"",Data!F186)</f>
        <v/>
      </c>
      <c r="G145" s="1143"/>
      <c r="H145" s="1144"/>
      <c r="I145" s="1144"/>
      <c r="J145" s="1144"/>
    </row>
    <row r="146" spans="2:10" s="1" customFormat="1" x14ac:dyDescent="0.2">
      <c r="B146" s="1020" t="str">
        <f>IF(Data!A$44&lt;&gt;0,Data!A$44,"")</f>
        <v/>
      </c>
      <c r="C146" s="1021"/>
      <c r="D146" s="132" t="str">
        <f>IF(H87="","",H87)</f>
        <v/>
      </c>
      <c r="E146" s="281"/>
      <c r="F146" s="280" t="str">
        <f>IF(AND(D146="",E146=""),"",Data!F187)</f>
        <v/>
      </c>
      <c r="G146" s="1143"/>
      <c r="H146" s="1144"/>
      <c r="I146" s="1144"/>
      <c r="J146" s="1144"/>
    </row>
    <row r="147" spans="2:10" s="1" customFormat="1" ht="11.25" x14ac:dyDescent="0.2">
      <c r="B147" s="287"/>
      <c r="C147" s="288"/>
      <c r="D147" s="288"/>
      <c r="E147" s="288"/>
      <c r="F147" s="288"/>
      <c r="G147" s="289"/>
      <c r="H147" s="290"/>
      <c r="I147" s="291"/>
      <c r="J147" s="290"/>
    </row>
    <row r="148" spans="2:10" s="1" customFormat="1" ht="11.25" x14ac:dyDescent="0.2">
      <c r="B148" s="1175" t="s">
        <v>1191</v>
      </c>
      <c r="C148" s="1175"/>
      <c r="D148" s="1175"/>
      <c r="E148" s="1175"/>
      <c r="F148" s="1175"/>
      <c r="G148" s="1175"/>
      <c r="H148" s="1175"/>
      <c r="I148" s="1175"/>
      <c r="J148" s="1175"/>
    </row>
    <row r="149" spans="2:10" s="1" customFormat="1" ht="22.5" customHeight="1" x14ac:dyDescent="0.2">
      <c r="B149" s="1171" t="s">
        <v>400</v>
      </c>
      <c r="C149" s="1172"/>
      <c r="D149" s="1172"/>
      <c r="E149" s="1172"/>
      <c r="F149" s="1172"/>
      <c r="G149" s="1172"/>
      <c r="H149" s="1172"/>
      <c r="I149" s="1172"/>
      <c r="J149" s="1173"/>
    </row>
    <row r="150" spans="2:10" s="1" customFormat="1" ht="11.25" x14ac:dyDescent="0.2">
      <c r="B150" s="243"/>
      <c r="C150" s="120"/>
      <c r="D150" s="120"/>
      <c r="E150" s="120"/>
      <c r="F150" s="120"/>
      <c r="G150" s="121"/>
      <c r="H150" s="122"/>
      <c r="I150" s="61"/>
      <c r="J150" s="122"/>
    </row>
    <row r="151" spans="2:10" s="1" customFormat="1" ht="21.95" customHeight="1" x14ac:dyDescent="0.2">
      <c r="B151" s="1174" t="s">
        <v>1189</v>
      </c>
      <c r="C151" s="1174"/>
      <c r="D151" s="1174"/>
      <c r="E151" s="1174"/>
      <c r="F151" s="1174"/>
      <c r="G151" s="1174"/>
      <c r="H151" s="1174"/>
      <c r="I151" s="1174"/>
      <c r="J151" s="1174"/>
    </row>
    <row r="152" spans="2:10" s="1" customFormat="1" ht="11.25" x14ac:dyDescent="0.2">
      <c r="B152" s="243" t="s">
        <v>1190</v>
      </c>
      <c r="C152" s="292"/>
      <c r="D152" s="120"/>
      <c r="E152" s="243" t="s">
        <v>509</v>
      </c>
      <c r="F152" s="1142"/>
      <c r="G152" s="1142"/>
      <c r="H152" s="1142"/>
      <c r="I152" s="1142"/>
      <c r="J152" s="1142"/>
    </row>
    <row r="153" spans="2:10" s="1" customFormat="1" ht="11.25" x14ac:dyDescent="0.2">
      <c r="D153" s="120"/>
      <c r="E153" s="243" t="s">
        <v>1250</v>
      </c>
      <c r="F153" s="1142"/>
      <c r="G153" s="1142"/>
      <c r="H153" s="1142"/>
      <c r="I153" s="1142"/>
      <c r="J153" s="1142"/>
    </row>
    <row r="154" spans="2:10" s="1" customFormat="1" ht="11.25" x14ac:dyDescent="0.2">
      <c r="B154" s="243"/>
      <c r="C154" s="120"/>
      <c r="D154" s="120"/>
      <c r="E154" s="120"/>
      <c r="F154" s="1142"/>
      <c r="G154" s="1142"/>
      <c r="H154" s="1142"/>
      <c r="I154" s="1142"/>
      <c r="J154" s="1142"/>
    </row>
    <row r="155" spans="2:10" s="1" customFormat="1" ht="53.25" customHeight="1" x14ac:dyDescent="0.2">
      <c r="B155" s="243"/>
      <c r="C155" s="120"/>
      <c r="D155" s="120"/>
      <c r="E155" s="120"/>
      <c r="F155" s="120"/>
      <c r="G155" s="121"/>
      <c r="H155" s="122"/>
      <c r="I155" s="61"/>
      <c r="J155" s="122"/>
    </row>
    <row r="156" spans="2:10" ht="18.75" customHeight="1" x14ac:dyDescent="0.25">
      <c r="B156" s="36" t="s">
        <v>1424</v>
      </c>
    </row>
    <row r="157" spans="2:10" ht="21.95" customHeight="1" x14ac:dyDescent="0.2">
      <c r="B157" s="1169" t="str">
        <f>IF(Data!B$218=TRUE,Data!E$218,IF(Data!B219=TRUE,Data!E219,Data!A208))</f>
        <v>You must select at least one RITA municipality before continuing.  Select RITA municipalities using the "Municipalities" drop-down lists near the top of this worksheet.</v>
      </c>
      <c r="C157" s="1169"/>
      <c r="D157" s="1169"/>
      <c r="E157" s="1169"/>
      <c r="F157" s="1169"/>
      <c r="G157" s="1169"/>
      <c r="H157" s="1169"/>
      <c r="I157" s="1169"/>
      <c r="J157" s="1169"/>
    </row>
    <row r="158" spans="2:10" ht="21.95" customHeight="1" x14ac:dyDescent="0.2">
      <c r="B158" s="1169" t="str">
        <f>IF(Data!B$218=TRUE,"",Data!A210)</f>
        <v/>
      </c>
      <c r="C158" s="1169"/>
      <c r="D158" s="1169"/>
      <c r="E158" s="1169"/>
      <c r="F158" s="1169"/>
      <c r="G158" s="1169"/>
      <c r="H158" s="1169"/>
      <c r="I158" s="1169"/>
      <c r="J158" s="1169"/>
    </row>
    <row r="159" spans="2:10" x14ac:dyDescent="0.2">
      <c r="B159" s="99"/>
      <c r="C159" s="99"/>
      <c r="D159" s="99"/>
      <c r="E159" s="99"/>
      <c r="F159" s="99"/>
      <c r="G159" s="99"/>
      <c r="H159" s="99"/>
      <c r="I159" s="99"/>
      <c r="J159" s="99"/>
    </row>
    <row r="160" spans="2:10" ht="33" customHeight="1" x14ac:dyDescent="0.2">
      <c r="B160" s="1176" t="str">
        <f>IF(Data!B$218=TRUE,"",IF(Data!B66&gt;0,Data!E64,Data!A212))</f>
        <v/>
      </c>
      <c r="C160" s="1176"/>
      <c r="D160" s="1176"/>
      <c r="E160" s="1176"/>
      <c r="F160" s="1176"/>
      <c r="G160" s="1176"/>
      <c r="H160" s="99"/>
      <c r="I160" s="99"/>
      <c r="J160" s="99"/>
    </row>
    <row r="161" spans="2:10" x14ac:dyDescent="0.2">
      <c r="B161" s="74" t="str">
        <f>IF(Data!B30&lt;&gt;"","Warning:","")</f>
        <v/>
      </c>
      <c r="C161" s="1177" t="str">
        <f>Data!B30</f>
        <v/>
      </c>
      <c r="D161" s="1177"/>
      <c r="E161" s="1177"/>
      <c r="F161" s="1177"/>
      <c r="G161" s="1177"/>
      <c r="H161" s="1177"/>
      <c r="I161" s="1177"/>
      <c r="J161" s="1177"/>
    </row>
    <row r="162" spans="2:10" ht="21.95" customHeight="1" x14ac:dyDescent="0.2">
      <c r="B162" s="971" t="str">
        <f>IF(Data!B218=TRUE,"",Data!A214)</f>
        <v/>
      </c>
      <c r="C162" s="971"/>
      <c r="D162" s="971"/>
      <c r="E162" s="971"/>
      <c r="F162" s="971"/>
      <c r="G162" s="971"/>
      <c r="I162" s="1180"/>
      <c r="J162" s="1181"/>
    </row>
    <row r="163" spans="2:10" x14ac:dyDescent="0.2">
      <c r="B163" s="77"/>
      <c r="C163" s="77"/>
      <c r="D163" s="77"/>
      <c r="E163" s="77"/>
      <c r="F163" s="77"/>
      <c r="G163" s="77"/>
      <c r="I163" s="59"/>
      <c r="J163" s="59"/>
    </row>
    <row r="164" spans="2:10" ht="21.95" customHeight="1" x14ac:dyDescent="0.2">
      <c r="B164" s="1077" t="s">
        <v>1395</v>
      </c>
      <c r="C164" s="1077"/>
      <c r="D164" s="81" t="str">
        <f>IF(Data!$A$40&lt;&gt;0,Data!$A$40,"")</f>
        <v/>
      </c>
      <c r="E164" s="81" t="str">
        <f>IF(Data!$A$41&lt;&gt;0,Data!$A$41,"")</f>
        <v/>
      </c>
      <c r="F164" s="81" t="str">
        <f>IF(Data!$A$42&lt;&gt;0,Data!$A$42,"")</f>
        <v/>
      </c>
      <c r="G164" s="81" t="str">
        <f>IF(Data!$A$43&lt;&gt;0,Data!$A$43,"")</f>
        <v/>
      </c>
      <c r="H164" s="1188" t="str">
        <f>IF(Data!$A$44&lt;&gt;0,Data!$A$44,"")</f>
        <v/>
      </c>
      <c r="I164" s="1188"/>
      <c r="J164" s="80" t="s">
        <v>1255</v>
      </c>
    </row>
    <row r="165" spans="2:10" x14ac:dyDescent="0.2">
      <c r="B165" s="1189" t="s">
        <v>1416</v>
      </c>
      <c r="C165" s="1189"/>
      <c r="D165" s="82">
        <f>IF(Data!$B$49=TRUE,Data!B67,ROUND('Print Return'!F79*'Print Return'!I95,0))</f>
        <v>0</v>
      </c>
      <c r="E165" s="82">
        <f>IF(Data!$B$49=TRUE,"",ROUND('Print Return'!F81*'Print Return'!I97,0))</f>
        <v>0</v>
      </c>
      <c r="F165" s="82">
        <f>IF(Data!$B$49=TRUE,"",ROUND('Print Return'!F83*'Print Return'!I99,0))</f>
        <v>0</v>
      </c>
      <c r="G165" s="82">
        <f>IF(Data!$B$49=TRUE,"",ROUND('Print Return'!F85*'Print Return'!I101,0))</f>
        <v>0</v>
      </c>
      <c r="H165" s="1186">
        <f>IF(Data!$B$49=TRUE,"",ROUND('Print Return'!F87*'Print Return'!I103,0))</f>
        <v>0</v>
      </c>
      <c r="I165" s="1187"/>
      <c r="J165" s="37">
        <f>SUM(D165:I165)</f>
        <v>0</v>
      </c>
    </row>
    <row r="166" spans="2:10" x14ac:dyDescent="0.2">
      <c r="B166" s="1184" t="s">
        <v>1417</v>
      </c>
      <c r="C166" s="1185"/>
      <c r="D166" s="82" t="str">
        <f>IF(Data!$B$49=TRUE,I162,IF(J165=0,"",I162-SUM(E166:I166)))</f>
        <v/>
      </c>
      <c r="E166" s="82" t="str">
        <f>IF(Data!$B$49=TRUE,"",IF(J165=0,"",ROUND((E165/$J165)*$I$162,0)))</f>
        <v/>
      </c>
      <c r="F166" s="82" t="str">
        <f>IF(Data!$B$49=TRUE,"",IF(J165=0,"",ROUND((F165/$J165)*$I$162,0)))</f>
        <v/>
      </c>
      <c r="G166" s="82" t="str">
        <f>IF(Data!$B$49=TRUE,"",IF(J165=0,"",ROUND((G165/$J165)*$I$162,0)))</f>
        <v/>
      </c>
      <c r="H166" s="1186" t="str">
        <f>IF(Data!$B$49=TRUE,"",IF(J165=0,"",ROUND((H165/$J165)*$I$162,0)))</f>
        <v/>
      </c>
      <c r="I166" s="1187"/>
      <c r="J166" s="37">
        <f>SUM(D166:I166)</f>
        <v>0</v>
      </c>
    </row>
    <row r="167" spans="2:10" x14ac:dyDescent="0.2">
      <c r="B167" s="1182" t="s">
        <v>1396</v>
      </c>
      <c r="C167" s="1182"/>
      <c r="D167" s="39"/>
      <c r="E167" s="39"/>
      <c r="F167" s="39"/>
      <c r="G167" s="39"/>
      <c r="H167" s="1183"/>
      <c r="I167" s="1183"/>
      <c r="J167" s="37">
        <f>SUM(D167:I167)</f>
        <v>0</v>
      </c>
    </row>
    <row r="168" spans="2:10" ht="12.75" customHeight="1" x14ac:dyDescent="0.2">
      <c r="B168" s="1162" t="str">
        <f>IF(AND(I162&lt;&gt;"",J167&lt;&gt;0,SUM(D167:I167)&lt;&gt;I162),CONCATENATE("Error:  Your good faith allocations must total $",I162),IF(AND(I162="",J167&lt;&gt;0,SUM(D167:I167)&lt;&gt;J165),CONCATENATE("Error:  Your good faith allocations must total $",J165),""))</f>
        <v/>
      </c>
      <c r="C168" s="1162"/>
      <c r="D168" s="1162"/>
      <c r="E168" s="1162"/>
      <c r="F168" s="1162"/>
      <c r="G168" s="1162"/>
      <c r="H168" s="1162"/>
      <c r="I168" s="1162"/>
      <c r="J168" s="1162"/>
    </row>
    <row r="169" spans="2:10" x14ac:dyDescent="0.2">
      <c r="B169" s="105"/>
      <c r="C169" s="104"/>
      <c r="D169" s="105" t="s">
        <v>1422</v>
      </c>
      <c r="G169" s="105"/>
      <c r="H169" s="105"/>
      <c r="I169" s="1178">
        <f>IF(Data!B25=TRUE,Data!B66,0)</f>
        <v>0</v>
      </c>
      <c r="J169" s="1179"/>
    </row>
    <row r="170" spans="2:10" s="1" customFormat="1" ht="11.25" x14ac:dyDescent="0.2">
      <c r="B170" s="105"/>
      <c r="C170" s="104"/>
      <c r="D170" s="104"/>
      <c r="E170" s="104"/>
      <c r="F170" s="104"/>
      <c r="G170" s="104"/>
      <c r="H170" s="104"/>
      <c r="I170" s="104"/>
      <c r="J170" s="104"/>
    </row>
    <row r="171" spans="2:10" x14ac:dyDescent="0.2">
      <c r="B171" s="105"/>
      <c r="C171" s="104"/>
      <c r="D171" s="105" t="s">
        <v>1423</v>
      </c>
      <c r="G171" s="105"/>
      <c r="H171" s="105"/>
      <c r="I171" s="1178">
        <f>Data!E83-'Complete This Page'!I169:J169</f>
        <v>0</v>
      </c>
      <c r="J171" s="1179"/>
    </row>
    <row r="172" spans="2:10" s="1" customFormat="1" ht="11.25" x14ac:dyDescent="0.2">
      <c r="B172" s="104"/>
      <c r="C172" s="104"/>
      <c r="D172" s="104"/>
      <c r="E172" s="104"/>
      <c r="F172" s="104"/>
      <c r="G172" s="104"/>
      <c r="H172" s="104"/>
      <c r="I172" s="104"/>
      <c r="J172" s="104"/>
    </row>
    <row r="173" spans="2:10" ht="21.95" customHeight="1" x14ac:dyDescent="0.2">
      <c r="B173" s="1194" t="str">
        <f>IF((I171+'Print Return'!L53)&gt;0,Data!E66,"Your return indicates that your credits were sufficient to cover your current year's tax and next year's estimated taxes.  No payment is required with your return.")</f>
        <v>Your return indicates that your credits were sufficient to cover your current year's tax and next year's estimated taxes.  No payment is required with your return.</v>
      </c>
      <c r="C173" s="1194"/>
      <c r="D173" s="1194"/>
      <c r="E173" s="1194"/>
      <c r="F173" s="1194"/>
      <c r="G173" s="1194"/>
      <c r="I173" s="1180"/>
      <c r="J173" s="1181"/>
    </row>
    <row r="174" spans="2:10" s="1" customFormat="1" ht="11.25" x14ac:dyDescent="0.2"/>
    <row r="175" spans="2:10" ht="18" hidden="1" x14ac:dyDescent="0.25">
      <c r="B175" s="36" t="s">
        <v>1386</v>
      </c>
    </row>
    <row r="176" spans="2:10" hidden="1" x14ac:dyDescent="0.2">
      <c r="B176" s="102" t="s">
        <v>1425</v>
      </c>
      <c r="C176" s="102"/>
      <c r="D176" s="102"/>
      <c r="E176" s="102"/>
      <c r="F176" s="102"/>
      <c r="G176" s="102"/>
      <c r="H176" s="102"/>
      <c r="I176" s="1192" t="e">
        <f>#REF!</f>
        <v>#REF!</v>
      </c>
      <c r="J176" s="1193"/>
    </row>
    <row r="177" spans="2:10" ht="13.5" hidden="1" thickBot="1" x14ac:dyDescent="0.25">
      <c r="B177" s="102" t="s">
        <v>1426</v>
      </c>
      <c r="C177" s="102"/>
      <c r="D177" s="102"/>
      <c r="E177" s="102"/>
      <c r="F177" s="102"/>
      <c r="G177" s="102"/>
      <c r="H177" s="102"/>
      <c r="I177" s="1190" t="e">
        <f>#REF!</f>
        <v>#REF!</v>
      </c>
      <c r="J177" s="1191"/>
    </row>
    <row r="178" spans="2:10" hidden="1" x14ac:dyDescent="0.2">
      <c r="B178" s="102" t="s">
        <v>1428</v>
      </c>
      <c r="C178" s="102"/>
      <c r="D178" s="102"/>
      <c r="E178" s="102"/>
      <c r="F178" s="102"/>
      <c r="G178" s="102"/>
      <c r="H178" s="102"/>
      <c r="I178" s="1167" t="e">
        <f>+I176-I177</f>
        <v>#REF!</v>
      </c>
      <c r="J178" s="1168"/>
    </row>
    <row r="179" spans="2:10" hidden="1" x14ac:dyDescent="0.2">
      <c r="B179" s="1148" t="e">
        <f>IF(AND(I178&lt;0,Data!B25),"You indicated that you wanted your overpayment applied to next year's estimated tax payments.",IF(AND(I178&lt;0,Data!B26=TRUE),"You indicated that you wanted your overpayment refunded to you.",""))</f>
        <v>#REF!</v>
      </c>
      <c r="C179" s="1148"/>
      <c r="D179" s="1148"/>
      <c r="E179" s="1148"/>
      <c r="F179" s="1148"/>
      <c r="G179" s="1148"/>
      <c r="H179" s="1148"/>
      <c r="I179" s="1148"/>
      <c r="J179" s="1148"/>
    </row>
    <row r="180" spans="2:10" hidden="1" x14ac:dyDescent="0.2">
      <c r="B180" s="102" t="s">
        <v>1427</v>
      </c>
      <c r="C180" s="102"/>
      <c r="D180" s="102"/>
      <c r="E180" s="102"/>
      <c r="F180" s="102"/>
      <c r="G180" s="1154">
        <f>Data!E83</f>
        <v>0</v>
      </c>
      <c r="H180" s="1154"/>
      <c r="I180" s="1149">
        <f ca="1">IF(I173="",Data!C74,'Complete This Page'!I173)</f>
        <v>0</v>
      </c>
      <c r="J180" s="1150"/>
    </row>
    <row r="181" spans="2:10" ht="13.5" hidden="1" thickBot="1" x14ac:dyDescent="0.25">
      <c r="B181" s="102" t="s">
        <v>1430</v>
      </c>
      <c r="C181" s="102"/>
      <c r="D181" s="102"/>
      <c r="E181" s="102"/>
      <c r="F181" s="102"/>
      <c r="G181" s="1153"/>
      <c r="H181" s="1154"/>
      <c r="I181" s="1151"/>
      <c r="J181" s="1152"/>
    </row>
    <row r="182" spans="2:10" hidden="1" x14ac:dyDescent="0.2">
      <c r="B182" s="102" t="s">
        <v>1429</v>
      </c>
      <c r="C182" s="102"/>
      <c r="D182" s="102"/>
      <c r="E182" s="102"/>
      <c r="F182" s="102"/>
      <c r="G182" s="102"/>
      <c r="H182" s="102"/>
      <c r="I182" s="1167" t="e">
        <f>IF(AND(I178&lt;0,Data!B26=TRUE),'Complete This Page'!I180,'Complete This Page'!I178+'Complete This Page'!I180)</f>
        <v>#REF!</v>
      </c>
      <c r="J182" s="1168"/>
    </row>
    <row r="183" spans="2:10" hidden="1" x14ac:dyDescent="0.2"/>
    <row r="184" spans="2:10" hidden="1" x14ac:dyDescent="0.2"/>
    <row r="185" spans="2:10" hidden="1" x14ac:dyDescent="0.2"/>
    <row r="186" spans="2:10" hidden="1" x14ac:dyDescent="0.2"/>
    <row r="187" spans="2:10" hidden="1" x14ac:dyDescent="0.2"/>
    <row r="188" spans="2:10" hidden="1" x14ac:dyDescent="0.2"/>
    <row r="189" spans="2:10" hidden="1" x14ac:dyDescent="0.2"/>
    <row r="190" spans="2:10" hidden="1" x14ac:dyDescent="0.2"/>
    <row r="191" spans="2:10" hidden="1" x14ac:dyDescent="0.2"/>
    <row r="192" spans="2:10" hidden="1" x14ac:dyDescent="0.2">
      <c r="B192" s="3"/>
      <c r="C192" s="3"/>
      <c r="D192" s="3"/>
      <c r="E192" s="3"/>
      <c r="F192" s="3"/>
      <c r="G192" s="3"/>
      <c r="H192" s="3"/>
      <c r="I192" s="3"/>
      <c r="J192" s="3"/>
    </row>
    <row r="193" spans="2:10" hidden="1" x14ac:dyDescent="0.2">
      <c r="B193" s="3"/>
      <c r="C193" s="3"/>
      <c r="D193" s="3"/>
      <c r="E193" s="3"/>
      <c r="F193" s="3"/>
      <c r="G193" s="3"/>
      <c r="H193" s="3"/>
      <c r="I193" s="3"/>
      <c r="J193" s="3"/>
    </row>
    <row r="194" spans="2:10" hidden="1" x14ac:dyDescent="0.2">
      <c r="B194" s="3"/>
      <c r="C194" s="3"/>
      <c r="D194" s="3"/>
      <c r="E194" s="3"/>
      <c r="F194" s="3"/>
      <c r="G194" s="3"/>
      <c r="H194" s="3"/>
      <c r="I194" s="3"/>
      <c r="J194" s="3"/>
    </row>
    <row r="195" spans="2:10" hidden="1" x14ac:dyDescent="0.2">
      <c r="B195" s="3"/>
      <c r="C195" s="3"/>
      <c r="D195" s="3"/>
      <c r="E195" s="3"/>
      <c r="F195" s="3"/>
      <c r="G195" s="3"/>
      <c r="H195" s="3"/>
      <c r="I195" s="3"/>
      <c r="J195" s="3"/>
    </row>
    <row r="196" spans="2:10" hidden="1" x14ac:dyDescent="0.2">
      <c r="B196" s="3"/>
      <c r="C196" s="3"/>
      <c r="D196" s="3"/>
      <c r="E196" s="3"/>
      <c r="F196" s="3"/>
      <c r="G196" s="3"/>
      <c r="H196" s="3"/>
      <c r="I196" s="3"/>
      <c r="J196" s="3"/>
    </row>
    <row r="197" spans="2:10" hidden="1" x14ac:dyDescent="0.2">
      <c r="B197" s="3"/>
      <c r="C197" s="3"/>
      <c r="D197" s="3"/>
      <c r="E197" s="3"/>
      <c r="F197" s="3"/>
      <c r="G197" s="3"/>
      <c r="H197" s="3"/>
      <c r="I197" s="3"/>
      <c r="J197" s="3"/>
    </row>
    <row r="198" spans="2:10" hidden="1" x14ac:dyDescent="0.2">
      <c r="B198" s="3"/>
      <c r="C198" s="3"/>
      <c r="D198" s="3"/>
      <c r="E198" s="3"/>
      <c r="F198" s="3"/>
      <c r="G198" s="3"/>
      <c r="H198" s="3"/>
      <c r="I198" s="3"/>
      <c r="J198" s="3"/>
    </row>
    <row r="199" spans="2:10" hidden="1" x14ac:dyDescent="0.2">
      <c r="B199" s="3"/>
      <c r="C199" s="3"/>
      <c r="D199" s="3"/>
      <c r="E199" s="3"/>
      <c r="F199" s="3"/>
      <c r="G199" s="3"/>
      <c r="H199" s="3"/>
      <c r="I199" s="3"/>
      <c r="J199" s="3"/>
    </row>
    <row r="200" spans="2:10" hidden="1" x14ac:dyDescent="0.2">
      <c r="B200" s="3"/>
      <c r="C200" s="3"/>
      <c r="D200" s="3"/>
      <c r="E200" s="3"/>
      <c r="F200" s="3"/>
      <c r="G200" s="3"/>
      <c r="H200" s="3"/>
      <c r="I200" s="3"/>
      <c r="J200" s="3"/>
    </row>
    <row r="201" spans="2:10" hidden="1" x14ac:dyDescent="0.2">
      <c r="B201" s="3"/>
      <c r="C201" s="3"/>
      <c r="D201" s="3"/>
      <c r="E201" s="3"/>
      <c r="F201" s="3"/>
      <c r="G201" s="3"/>
      <c r="H201" s="3"/>
      <c r="I201" s="3"/>
      <c r="J201" s="3"/>
    </row>
    <row r="202" spans="2:10" hidden="1" x14ac:dyDescent="0.2">
      <c r="B202" s="3"/>
      <c r="C202" s="3"/>
      <c r="D202" s="3"/>
      <c r="E202" s="3"/>
      <c r="F202" s="3"/>
      <c r="G202" s="3"/>
      <c r="H202" s="3"/>
      <c r="I202" s="3"/>
      <c r="J202" s="3"/>
    </row>
    <row r="203" spans="2:10" hidden="1" x14ac:dyDescent="0.2">
      <c r="B203" s="3"/>
      <c r="C203" s="3"/>
      <c r="D203" s="3"/>
      <c r="E203" s="3"/>
      <c r="F203" s="3"/>
      <c r="G203" s="3"/>
      <c r="H203" s="3"/>
      <c r="I203" s="3"/>
      <c r="J203" s="3"/>
    </row>
    <row r="204" spans="2:10" hidden="1" x14ac:dyDescent="0.2"/>
    <row r="205" spans="2:10" ht="18.75" hidden="1" thickBot="1" x14ac:dyDescent="0.3">
      <c r="B205" s="20" t="s">
        <v>7</v>
      </c>
    </row>
    <row r="206" spans="2:10" ht="13.5" hidden="1" thickBot="1" x14ac:dyDescent="0.25">
      <c r="B206" s="44" t="s">
        <v>1014</v>
      </c>
      <c r="C206" s="43" t="s">
        <v>1015</v>
      </c>
      <c r="D206" s="43"/>
      <c r="E206" s="43"/>
      <c r="F206" s="43"/>
      <c r="G206" s="43"/>
      <c r="H206" s="43"/>
      <c r="I206" s="43"/>
      <c r="J206" s="43"/>
    </row>
    <row r="207" spans="2:10" hidden="1" x14ac:dyDescent="0.2">
      <c r="B207" s="1170" t="s">
        <v>1016</v>
      </c>
      <c r="C207" s="1170"/>
      <c r="D207" s="1170"/>
      <c r="E207" s="1170"/>
      <c r="F207" s="1165" t="s">
        <v>1032</v>
      </c>
      <c r="G207" s="1166"/>
      <c r="H207" s="62">
        <f>+H63+1</f>
        <v>21</v>
      </c>
      <c r="I207" s="1160">
        <f>IF(OR(Data!$B$12=TRUE,Data!$B$13=TRUE),"",I42)</f>
        <v>0</v>
      </c>
      <c r="J207" s="1161"/>
    </row>
    <row r="208" spans="2:10" ht="23.1" hidden="1" customHeight="1" x14ac:dyDescent="0.2">
      <c r="B208" s="1157" t="s">
        <v>1029</v>
      </c>
      <c r="C208" s="1157"/>
      <c r="D208" s="1157"/>
      <c r="E208" s="1158"/>
      <c r="F208" s="1145" t="s">
        <v>1033</v>
      </c>
      <c r="G208" s="1145"/>
      <c r="H208" s="62">
        <f>+H207+1</f>
        <v>22</v>
      </c>
      <c r="I208" s="1140">
        <f>IF(OR(Data!$B$12=TRUE,Data!$B$13=TRUE),"",I56)</f>
        <v>0</v>
      </c>
      <c r="J208" s="1141"/>
    </row>
    <row r="209" spans="2:10" ht="23.1" hidden="1" customHeight="1" x14ac:dyDescent="0.2">
      <c r="B209" s="1158" t="s">
        <v>1030</v>
      </c>
      <c r="C209" s="1159"/>
      <c r="D209" s="1159"/>
      <c r="E209" s="1159"/>
      <c r="F209" s="1145" t="s">
        <v>1034</v>
      </c>
      <c r="G209" s="1145"/>
      <c r="H209" s="62">
        <f>+H208+1</f>
        <v>23</v>
      </c>
      <c r="I209" s="1140">
        <f>IF(OR(Data!$B$12=TRUE,Data!$B$13=TRUE),"",I57)</f>
        <v>0</v>
      </c>
      <c r="J209" s="1141"/>
    </row>
    <row r="210" spans="2:10" ht="23.1" hidden="1" customHeight="1" thickBot="1" x14ac:dyDescent="0.25">
      <c r="B210" s="1158" t="s">
        <v>1031</v>
      </c>
      <c r="C210" s="1159"/>
      <c r="D210" s="1159"/>
      <c r="E210" s="1159"/>
      <c r="F210" s="1145" t="s">
        <v>1075</v>
      </c>
      <c r="G210" s="1145"/>
      <c r="H210" s="62">
        <f>+H209+1</f>
        <v>24</v>
      </c>
      <c r="I210" s="1163">
        <f>IF(OR(Data!$B$12=TRUE,Data!$B$13=TRUE),"",I58)</f>
        <v>0</v>
      </c>
      <c r="J210" s="1164"/>
    </row>
    <row r="211" spans="2:10" ht="12.75" hidden="1" customHeight="1" x14ac:dyDescent="0.2">
      <c r="B211" s="1155" t="s">
        <v>1077</v>
      </c>
      <c r="C211" s="1156"/>
      <c r="D211" s="1156"/>
      <c r="E211" s="1156"/>
      <c r="F211" s="1145" t="s">
        <v>1076</v>
      </c>
      <c r="G211" s="1145"/>
      <c r="H211" s="62">
        <f>+H210+1</f>
        <v>25</v>
      </c>
      <c r="I211" s="1160">
        <f>IF(OR(Data!$B$12=TRUE,Data!$B$13=TRUE),"",SUM(I207:J210))</f>
        <v>0</v>
      </c>
      <c r="J211" s="1161"/>
    </row>
    <row r="212" spans="2:10" ht="13.5" hidden="1" thickBot="1" x14ac:dyDescent="0.25"/>
    <row r="213" spans="2:10" ht="13.5" hidden="1" thickBot="1" x14ac:dyDescent="0.25">
      <c r="B213" s="44" t="s">
        <v>1081</v>
      </c>
      <c r="C213" s="43" t="s">
        <v>1082</v>
      </c>
      <c r="D213" s="43"/>
      <c r="E213" s="43"/>
      <c r="F213" s="43"/>
      <c r="G213" s="43"/>
      <c r="H213" s="43"/>
      <c r="I213" s="43"/>
      <c r="J213" s="43"/>
    </row>
    <row r="214" spans="2:10" ht="23.1" hidden="1" customHeight="1" x14ac:dyDescent="0.2">
      <c r="B214" s="1146" t="s">
        <v>1088</v>
      </c>
      <c r="C214" s="1146"/>
      <c r="D214" s="1146"/>
      <c r="E214" s="1147"/>
      <c r="F214" s="1145" t="s">
        <v>1078</v>
      </c>
      <c r="G214" s="1145"/>
      <c r="H214" s="62">
        <f>+H211+1</f>
        <v>26</v>
      </c>
      <c r="I214" s="1140">
        <f>-SUM(I43:J45)</f>
        <v>0</v>
      </c>
      <c r="J214" s="1141"/>
    </row>
    <row r="215" spans="2:10" ht="23.1" hidden="1" customHeight="1" x14ac:dyDescent="0.2">
      <c r="B215" s="1136" t="s">
        <v>1079</v>
      </c>
      <c r="C215" s="1136"/>
      <c r="D215" s="1136"/>
      <c r="E215" s="1137"/>
      <c r="F215" s="1145" t="s">
        <v>1080</v>
      </c>
      <c r="G215" s="1145"/>
      <c r="H215" s="62">
        <f>+H214+1</f>
        <v>27</v>
      </c>
      <c r="I215" s="1140">
        <f>ROUND(I214*0.05,0)</f>
        <v>0</v>
      </c>
      <c r="J215" s="1141"/>
    </row>
    <row r="216" spans="2:10" ht="23.1" hidden="1" customHeight="1" x14ac:dyDescent="0.2">
      <c r="B216" s="1136" t="s">
        <v>1083</v>
      </c>
      <c r="C216" s="1136"/>
      <c r="D216" s="1136"/>
      <c r="E216" s="1137"/>
      <c r="F216" s="1138" t="s">
        <v>1084</v>
      </c>
      <c r="G216" s="1139"/>
      <c r="H216" s="62">
        <f>+H215+1</f>
        <v>28</v>
      </c>
      <c r="I216" s="1140">
        <f>-Data!C95</f>
        <v>0</v>
      </c>
      <c r="J216" s="1141"/>
    </row>
    <row r="217" spans="2:10" ht="35.1" hidden="1" customHeight="1" x14ac:dyDescent="0.2">
      <c r="B217" s="1136" t="s">
        <v>1087</v>
      </c>
      <c r="C217" s="1136"/>
      <c r="D217" s="1136"/>
      <c r="E217" s="1137"/>
      <c r="F217" s="1138" t="s">
        <v>1089</v>
      </c>
      <c r="G217" s="1139"/>
      <c r="H217" s="62">
        <f>+H216+1</f>
        <v>29</v>
      </c>
      <c r="I217" s="1140"/>
      <c r="J217" s="1141"/>
    </row>
    <row r="218" spans="2:10" hidden="1" x14ac:dyDescent="0.2"/>
    <row r="219" spans="2:10" hidden="1" x14ac:dyDescent="0.2"/>
    <row r="220" spans="2:10" ht="13.5" thickBot="1" x14ac:dyDescent="0.25"/>
    <row r="221" spans="2:10" ht="13.5" thickBot="1" x14ac:dyDescent="0.25">
      <c r="D221" s="1133" t="s">
        <v>1195</v>
      </c>
      <c r="E221" s="1134"/>
      <c r="F221" s="1135"/>
    </row>
  </sheetData>
  <sheetProtection algorithmName="SHA-512" hashValue="mHfB6goTIPgFCaoinvglatFvJ8fk1fBw45HPSlylm9uo+fLCqaBJM36RwzZd/pY3FWkR7uMffIqLg/jpTNDG8A==" saltValue="aF25GTNpgbYNkD4UFP8Onw==" spinCount="100000" sheet="1" objects="1" scenarios="1"/>
  <mergeCells count="307">
    <mergeCell ref="I216:J216"/>
    <mergeCell ref="I208:J208"/>
    <mergeCell ref="I209:J209"/>
    <mergeCell ref="I215:J215"/>
    <mergeCell ref="B148:J148"/>
    <mergeCell ref="B160:G160"/>
    <mergeCell ref="C161:J161"/>
    <mergeCell ref="I169:J169"/>
    <mergeCell ref="I171:J171"/>
    <mergeCell ref="I162:J162"/>
    <mergeCell ref="B162:G162"/>
    <mergeCell ref="B167:C167"/>
    <mergeCell ref="H167:I167"/>
    <mergeCell ref="B166:C166"/>
    <mergeCell ref="H166:I166"/>
    <mergeCell ref="B164:C164"/>
    <mergeCell ref="H164:I164"/>
    <mergeCell ref="B165:C165"/>
    <mergeCell ref="H165:I165"/>
    <mergeCell ref="I178:J178"/>
    <mergeCell ref="I177:J177"/>
    <mergeCell ref="I176:J176"/>
    <mergeCell ref="B173:G173"/>
    <mergeCell ref="I173:J173"/>
    <mergeCell ref="B210:E210"/>
    <mergeCell ref="I211:J211"/>
    <mergeCell ref="F208:G208"/>
    <mergeCell ref="F209:G209"/>
    <mergeCell ref="F210:G210"/>
    <mergeCell ref="B209:E209"/>
    <mergeCell ref="B142:C142"/>
    <mergeCell ref="B143:C143"/>
    <mergeCell ref="B168:J168"/>
    <mergeCell ref="I210:J210"/>
    <mergeCell ref="F207:G207"/>
    <mergeCell ref="G180:H180"/>
    <mergeCell ref="I182:J182"/>
    <mergeCell ref="B158:J158"/>
    <mergeCell ref="B157:J157"/>
    <mergeCell ref="I207:J207"/>
    <mergeCell ref="B207:E207"/>
    <mergeCell ref="B149:J149"/>
    <mergeCell ref="B151:J151"/>
    <mergeCell ref="D221:F221"/>
    <mergeCell ref="B217:E217"/>
    <mergeCell ref="F217:G217"/>
    <mergeCell ref="I217:J217"/>
    <mergeCell ref="F154:J154"/>
    <mergeCell ref="G141:J146"/>
    <mergeCell ref="B215:E215"/>
    <mergeCell ref="B216:E216"/>
    <mergeCell ref="F216:G216"/>
    <mergeCell ref="F215:G215"/>
    <mergeCell ref="B144:C144"/>
    <mergeCell ref="B145:C145"/>
    <mergeCell ref="B146:C146"/>
    <mergeCell ref="F153:J153"/>
    <mergeCell ref="F152:J152"/>
    <mergeCell ref="B214:E214"/>
    <mergeCell ref="I214:J214"/>
    <mergeCell ref="F214:G214"/>
    <mergeCell ref="F211:G211"/>
    <mergeCell ref="B179:J179"/>
    <mergeCell ref="I180:J181"/>
    <mergeCell ref="G181:H181"/>
    <mergeCell ref="B211:E211"/>
    <mergeCell ref="B208:E208"/>
    <mergeCell ref="H133:I133"/>
    <mergeCell ref="H134:I134"/>
    <mergeCell ref="B134:F134"/>
    <mergeCell ref="H127:I127"/>
    <mergeCell ref="H130:I130"/>
    <mergeCell ref="B124:J124"/>
    <mergeCell ref="B122:C122"/>
    <mergeCell ref="I138:J138"/>
    <mergeCell ref="I139:J139"/>
    <mergeCell ref="H129:I129"/>
    <mergeCell ref="B132:E132"/>
    <mergeCell ref="B133:E133"/>
    <mergeCell ref="H132:I132"/>
    <mergeCell ref="B131:E131"/>
    <mergeCell ref="H131:I131"/>
    <mergeCell ref="B130:E130"/>
    <mergeCell ref="B127:E127"/>
    <mergeCell ref="B128:E128"/>
    <mergeCell ref="B129:E129"/>
    <mergeCell ref="H128:I128"/>
    <mergeCell ref="B54:E54"/>
    <mergeCell ref="B51:J51"/>
    <mergeCell ref="B73:E73"/>
    <mergeCell ref="B74:E74"/>
    <mergeCell ref="J97:J98"/>
    <mergeCell ref="G13:J13"/>
    <mergeCell ref="B77:E77"/>
    <mergeCell ref="B79:E79"/>
    <mergeCell ref="B141:C141"/>
    <mergeCell ref="B139:G139"/>
    <mergeCell ref="B138:G138"/>
    <mergeCell ref="B123:C123"/>
    <mergeCell ref="H123:I123"/>
    <mergeCell ref="B137:J137"/>
    <mergeCell ref="B105:J105"/>
    <mergeCell ref="B91:C91"/>
    <mergeCell ref="B23:J23"/>
    <mergeCell ref="B75:E75"/>
    <mergeCell ref="B100:C100"/>
    <mergeCell ref="B125:J125"/>
    <mergeCell ref="F75:G75"/>
    <mergeCell ref="F80:G80"/>
    <mergeCell ref="F76:G76"/>
    <mergeCell ref="B85:C85"/>
    <mergeCell ref="I73:J73"/>
    <mergeCell ref="F74:G74"/>
    <mergeCell ref="I71:J71"/>
    <mergeCell ref="G7:J7"/>
    <mergeCell ref="H9:J9"/>
    <mergeCell ref="H11:I11"/>
    <mergeCell ref="B14:E14"/>
    <mergeCell ref="I56:J56"/>
    <mergeCell ref="I53:J53"/>
    <mergeCell ref="F55:G55"/>
    <mergeCell ref="F56:G56"/>
    <mergeCell ref="B53:E53"/>
    <mergeCell ref="B55:E55"/>
    <mergeCell ref="F71:G71"/>
    <mergeCell ref="B71:E71"/>
    <mergeCell ref="B69:E69"/>
    <mergeCell ref="F57:G57"/>
    <mergeCell ref="F45:G45"/>
    <mergeCell ref="F60:G60"/>
    <mergeCell ref="I57:J57"/>
    <mergeCell ref="I45:J45"/>
    <mergeCell ref="I61:J61"/>
    <mergeCell ref="B50:E50"/>
    <mergeCell ref="B56:E56"/>
    <mergeCell ref="I55:J55"/>
    <mergeCell ref="B59:E59"/>
    <mergeCell ref="F59:G59"/>
    <mergeCell ref="I59:J59"/>
    <mergeCell ref="B61:E61"/>
    <mergeCell ref="F72:G72"/>
    <mergeCell ref="I75:J75"/>
    <mergeCell ref="I74:J74"/>
    <mergeCell ref="I72:J72"/>
    <mergeCell ref="F73:G73"/>
    <mergeCell ref="B72:E72"/>
    <mergeCell ref="B58:E58"/>
    <mergeCell ref="F63:G63"/>
    <mergeCell ref="F62:G62"/>
    <mergeCell ref="B63:E63"/>
    <mergeCell ref="I62:J62"/>
    <mergeCell ref="I63:J63"/>
    <mergeCell ref="B62:E62"/>
    <mergeCell ref="F70:G70"/>
    <mergeCell ref="I69:J69"/>
    <mergeCell ref="I67:J67"/>
    <mergeCell ref="I70:J70"/>
    <mergeCell ref="F69:G69"/>
    <mergeCell ref="F64:G64"/>
    <mergeCell ref="F50:G50"/>
    <mergeCell ref="F53:G53"/>
    <mergeCell ref="B76:E76"/>
    <mergeCell ref="D97:I97"/>
    <mergeCell ref="B99:C99"/>
    <mergeCell ref="F79:G79"/>
    <mergeCell ref="I79:J79"/>
    <mergeCell ref="F78:G78"/>
    <mergeCell ref="I78:J78"/>
    <mergeCell ref="F77:G77"/>
    <mergeCell ref="I76:J76"/>
    <mergeCell ref="I81:J81"/>
    <mergeCell ref="B78:E78"/>
    <mergeCell ref="B80:E80"/>
    <mergeCell ref="I77:J77"/>
    <mergeCell ref="H92:I92"/>
    <mergeCell ref="B81:E81"/>
    <mergeCell ref="H90:I90"/>
    <mergeCell ref="H87:I87"/>
    <mergeCell ref="B84:C84"/>
    <mergeCell ref="H84:I84"/>
    <mergeCell ref="B57:E57"/>
    <mergeCell ref="F61:G61"/>
    <mergeCell ref="I60:J60"/>
    <mergeCell ref="B83:C83"/>
    <mergeCell ref="H91:I91"/>
    <mergeCell ref="B92:C92"/>
    <mergeCell ref="B89:C89"/>
    <mergeCell ref="F81:G81"/>
    <mergeCell ref="I80:J80"/>
    <mergeCell ref="H86:I86"/>
    <mergeCell ref="H99:I99"/>
    <mergeCell ref="B93:J93"/>
    <mergeCell ref="B87:C87"/>
    <mergeCell ref="H88:I88"/>
    <mergeCell ref="B86:C86"/>
    <mergeCell ref="H89:I89"/>
    <mergeCell ref="B90:C90"/>
    <mergeCell ref="H98:I98"/>
    <mergeCell ref="B98:C98"/>
    <mergeCell ref="H83:I83"/>
    <mergeCell ref="H85:I85"/>
    <mergeCell ref="B88:C88"/>
    <mergeCell ref="B97:C97"/>
    <mergeCell ref="B95:I95"/>
    <mergeCell ref="B96:I96"/>
    <mergeCell ref="B3:E3"/>
    <mergeCell ref="C5:D5"/>
    <mergeCell ref="B7:C7"/>
    <mergeCell ref="G3:I3"/>
    <mergeCell ref="G5:I5"/>
    <mergeCell ref="F44:G44"/>
    <mergeCell ref="G36:J36"/>
    <mergeCell ref="C32:J32"/>
    <mergeCell ref="C35:E35"/>
    <mergeCell ref="D36:E36"/>
    <mergeCell ref="I42:J42"/>
    <mergeCell ref="I43:J43"/>
    <mergeCell ref="I44:J44"/>
    <mergeCell ref="H10:I10"/>
    <mergeCell ref="G12:J12"/>
    <mergeCell ref="F42:G42"/>
    <mergeCell ref="G34:J34"/>
    <mergeCell ref="B20:C20"/>
    <mergeCell ref="I18:J18"/>
    <mergeCell ref="B19:C19"/>
    <mergeCell ref="B42:E42"/>
    <mergeCell ref="B43:E43"/>
    <mergeCell ref="B16:C16"/>
    <mergeCell ref="E20:G20"/>
    <mergeCell ref="B68:E68"/>
    <mergeCell ref="B70:E70"/>
    <mergeCell ref="B64:E64"/>
    <mergeCell ref="F58:G58"/>
    <mergeCell ref="B60:E60"/>
    <mergeCell ref="I58:J58"/>
    <mergeCell ref="I64:J64"/>
    <mergeCell ref="F68:G68"/>
    <mergeCell ref="G66:J66"/>
    <mergeCell ref="H121:I121"/>
    <mergeCell ref="B117:C118"/>
    <mergeCell ref="D117:I117"/>
    <mergeCell ref="J117:J118"/>
    <mergeCell ref="H119:I119"/>
    <mergeCell ref="B102:C102"/>
    <mergeCell ref="B121:C121"/>
    <mergeCell ref="H122:I122"/>
    <mergeCell ref="B101:C101"/>
    <mergeCell ref="B112:J112"/>
    <mergeCell ref="B109:K109"/>
    <mergeCell ref="H100:I100"/>
    <mergeCell ref="B119:C119"/>
    <mergeCell ref="H120:I120"/>
    <mergeCell ref="B104:J104"/>
    <mergeCell ref="H118:I118"/>
    <mergeCell ref="B120:C120"/>
    <mergeCell ref="H101:I101"/>
    <mergeCell ref="H102:I102"/>
    <mergeCell ref="B115:J115"/>
    <mergeCell ref="B103:C103"/>
    <mergeCell ref="H103:I103"/>
    <mergeCell ref="B116:J116"/>
    <mergeCell ref="B113:J113"/>
    <mergeCell ref="B114:J114"/>
    <mergeCell ref="B110:J110"/>
    <mergeCell ref="H107:I107"/>
    <mergeCell ref="H108:I108"/>
    <mergeCell ref="B107:C108"/>
    <mergeCell ref="E15:G15"/>
    <mergeCell ref="I19:J19"/>
    <mergeCell ref="E16:G16"/>
    <mergeCell ref="E17:G17"/>
    <mergeCell ref="E18:G18"/>
    <mergeCell ref="E19:G19"/>
    <mergeCell ref="B21:C21"/>
    <mergeCell ref="I20:J20"/>
    <mergeCell ref="C34:D34"/>
    <mergeCell ref="I26:K26"/>
    <mergeCell ref="I25:J25"/>
    <mergeCell ref="I24:J24"/>
    <mergeCell ref="I15:J15"/>
    <mergeCell ref="I16:J16"/>
    <mergeCell ref="B17:C17"/>
    <mergeCell ref="B18:C18"/>
    <mergeCell ref="K97:K98"/>
    <mergeCell ref="I46:J46"/>
    <mergeCell ref="I48:J48"/>
    <mergeCell ref="B48:E48"/>
    <mergeCell ref="F49:G49"/>
    <mergeCell ref="F48:G48"/>
    <mergeCell ref="B49:E49"/>
    <mergeCell ref="G35:J35"/>
    <mergeCell ref="F43:G43"/>
    <mergeCell ref="B44:E44"/>
    <mergeCell ref="F46:G46"/>
    <mergeCell ref="F47:G47"/>
    <mergeCell ref="I54:J54"/>
    <mergeCell ref="F54:G54"/>
    <mergeCell ref="I49:J49"/>
    <mergeCell ref="I50:J50"/>
    <mergeCell ref="I47:J47"/>
    <mergeCell ref="B47:E47"/>
    <mergeCell ref="B45:E45"/>
    <mergeCell ref="B46:E46"/>
    <mergeCell ref="B65:J65"/>
    <mergeCell ref="I68:J68"/>
    <mergeCell ref="B67:E67"/>
    <mergeCell ref="F67:G67"/>
  </mergeCells>
  <phoneticPr fontId="2" type="noConversion"/>
  <conditionalFormatting sqref="I207:J211">
    <cfRule type="expression" dxfId="145" priority="52" stopIfTrue="1">
      <formula>$I207=""</formula>
    </cfRule>
  </conditionalFormatting>
  <conditionalFormatting sqref="E165:H165 E167:I167 B142:F146 J84:J92 D84:G92 H92 H84:I91">
    <cfRule type="expression" dxfId="144" priority="53" stopIfTrue="1">
      <formula>$F$66="Skip:"</formula>
    </cfRule>
  </conditionalFormatting>
  <conditionalFormatting sqref="B161:J161">
    <cfRule type="expression" dxfId="143" priority="54" stopIfTrue="1">
      <formula>$B$161="Warning:"</formula>
    </cfRule>
  </conditionalFormatting>
  <conditionalFormatting sqref="E166:H166">
    <cfRule type="expression" dxfId="142" priority="55" stopIfTrue="1">
      <formula>$F$66="Skip:"</formula>
    </cfRule>
    <cfRule type="expression" dxfId="141" priority="56" stopIfTrue="1">
      <formula>$I$162=""</formula>
    </cfRule>
  </conditionalFormatting>
  <conditionalFormatting sqref="B168:J168">
    <cfRule type="expression" dxfId="140" priority="57" stopIfTrue="1">
      <formula>$B$168&lt;&gt;""</formula>
    </cfRule>
  </conditionalFormatting>
  <conditionalFormatting sqref="D166 J166">
    <cfRule type="expression" dxfId="139" priority="58" stopIfTrue="1">
      <formula>$I$162=""</formula>
    </cfRule>
  </conditionalFormatting>
  <conditionalFormatting sqref="B129:J133">
    <cfRule type="expression" dxfId="138" priority="59" stopIfTrue="1">
      <formula>$B$128&lt;&gt;"Partners' Names &amp; Addresses"</formula>
    </cfRule>
  </conditionalFormatting>
  <conditionalFormatting sqref="B134:F134">
    <cfRule type="expression" dxfId="137" priority="60" stopIfTrue="1">
      <formula>AND($G$134&lt;&gt;1,$G$134&lt;&gt;0)</formula>
    </cfRule>
  </conditionalFormatting>
  <conditionalFormatting sqref="B96">
    <cfRule type="expression" dxfId="136" priority="61" stopIfTrue="1">
      <formula>$B$96&lt;&gt;""</formula>
    </cfRule>
  </conditionalFormatting>
  <conditionalFormatting sqref="J111">
    <cfRule type="expression" dxfId="135" priority="62" stopIfTrue="1">
      <formula>$J$111="Skip: C-Corp"</formula>
    </cfRule>
  </conditionalFormatting>
  <conditionalFormatting sqref="D119:J123">
    <cfRule type="expression" dxfId="134" priority="63" stopIfTrue="1">
      <formula>$J$111="Skip: C-Corp"</formula>
    </cfRule>
  </conditionalFormatting>
  <conditionalFormatting sqref="B105">
    <cfRule type="expression" dxfId="133" priority="64" stopIfTrue="1">
      <formula>LEFT($B$105,6)="Do not"</formula>
    </cfRule>
  </conditionalFormatting>
  <conditionalFormatting sqref="B125:J125">
    <cfRule type="expression" dxfId="132" priority="65" stopIfTrue="1">
      <formula>LEFT($B$125,6)="Do not"</formula>
    </cfRule>
  </conditionalFormatting>
  <conditionalFormatting sqref="B116:J116">
    <cfRule type="expression" dxfId="131" priority="66" stopIfTrue="1">
      <formula>LEFT($B$116,6)="Error:"</formula>
    </cfRule>
  </conditionalFormatting>
  <conditionalFormatting sqref="I67:J81">
    <cfRule type="expression" dxfId="130" priority="67" stopIfTrue="1">
      <formula>$F$66="Skip:"</formula>
    </cfRule>
  </conditionalFormatting>
  <conditionalFormatting sqref="B65:J65">
    <cfRule type="expression" dxfId="129" priority="68" stopIfTrue="1">
      <formula>LEFT($B$65,6)="Error:"</formula>
    </cfRule>
  </conditionalFormatting>
  <conditionalFormatting sqref="F66:J66">
    <cfRule type="expression" dxfId="128" priority="69" stopIfTrue="1">
      <formula>$F$66="Skip:"</formula>
    </cfRule>
  </conditionalFormatting>
  <conditionalFormatting sqref="F52:J52">
    <cfRule type="expression" dxfId="127" priority="70" stopIfTrue="1">
      <formula>$F$52="Skip:"</formula>
    </cfRule>
  </conditionalFormatting>
  <conditionalFormatting sqref="B14:E14 B21:C21">
    <cfRule type="expression" dxfId="126" priority="71" stopIfTrue="1">
      <formula>B14&lt;&gt;""</formula>
    </cfRule>
  </conditionalFormatting>
  <conditionalFormatting sqref="E16:G16">
    <cfRule type="expression" dxfId="125" priority="72" stopIfTrue="1">
      <formula>$E$16&lt;&gt;""</formula>
    </cfRule>
  </conditionalFormatting>
  <conditionalFormatting sqref="E17:G17">
    <cfRule type="expression" dxfId="124" priority="73" stopIfTrue="1">
      <formula>$E$17&lt;&gt;""</formula>
    </cfRule>
  </conditionalFormatting>
  <conditionalFormatting sqref="E18:G18">
    <cfRule type="expression" dxfId="123" priority="74" stopIfTrue="1">
      <formula>$E$18&lt;&gt;""</formula>
    </cfRule>
  </conditionalFormatting>
  <conditionalFormatting sqref="E20:G20">
    <cfRule type="expression" dxfId="122" priority="75" stopIfTrue="1">
      <formula>$E$20&lt;&gt;""</formula>
    </cfRule>
  </conditionalFormatting>
  <conditionalFormatting sqref="G141:J146">
    <cfRule type="expression" dxfId="121" priority="76" stopIfTrue="1">
      <formula>$G$141&lt;&gt;""</formula>
    </cfRule>
  </conditionalFormatting>
  <conditionalFormatting sqref="B149:J149">
    <cfRule type="expression" dxfId="120" priority="77" stopIfTrue="1">
      <formula>$G$141=""</formula>
    </cfRule>
  </conditionalFormatting>
  <conditionalFormatting sqref="B93:J93">
    <cfRule type="expression" dxfId="119" priority="78" stopIfTrue="1">
      <formula>$B$93&lt;&gt;""</formula>
    </cfRule>
  </conditionalFormatting>
  <conditionalFormatting sqref="B157:J157">
    <cfRule type="expression" dxfId="118" priority="79" stopIfTrue="1">
      <formula>LEFT($B$157,4)="You "</formula>
    </cfRule>
  </conditionalFormatting>
  <conditionalFormatting sqref="I53:J64">
    <cfRule type="expression" dxfId="117" priority="80" stopIfTrue="1">
      <formula>$F$52="Skip:"</formula>
    </cfRule>
  </conditionalFormatting>
  <conditionalFormatting sqref="G13:J13">
    <cfRule type="expression" dxfId="116" priority="81" stopIfTrue="1">
      <formula>G13="Tax Year Not Supported"</formula>
    </cfRule>
  </conditionalFormatting>
  <conditionalFormatting sqref="E19:G19">
    <cfRule type="expression" dxfId="115" priority="82" stopIfTrue="1">
      <formula>$E$19&lt;&gt;""</formula>
    </cfRule>
  </conditionalFormatting>
  <conditionalFormatting sqref="B51:J51">
    <cfRule type="expression" dxfId="114" priority="83" stopIfTrue="1">
      <formula>$B$51&lt;&gt;""</formula>
    </cfRule>
  </conditionalFormatting>
  <conditionalFormatting sqref="G12:J12">
    <cfRule type="expression" dxfId="113" priority="84" stopIfTrue="1">
      <formula>OR(AND($G$11="",$H$11=""),($J$11-$H$11)&gt;375)</formula>
    </cfRule>
  </conditionalFormatting>
  <conditionalFormatting sqref="H99:I103">
    <cfRule type="expression" dxfId="112" priority="51">
      <formula>$H$98 &gt;= 2017</formula>
    </cfRule>
  </conditionalFormatting>
  <conditionalFormatting sqref="G99:G103">
    <cfRule type="expression" dxfId="111" priority="50">
      <formula xml:space="preserve"> $G$98 &gt;= 2017</formula>
    </cfRule>
  </conditionalFormatting>
  <conditionalFormatting sqref="F99:F103">
    <cfRule type="expression" dxfId="110" priority="49">
      <formula xml:space="preserve"> $F$98 &gt;= 2017</formula>
    </cfRule>
  </conditionalFormatting>
  <conditionalFormatting sqref="H108:I108">
    <cfRule type="expression" dxfId="109" priority="43" stopIfTrue="1">
      <formula xml:space="preserve"> $H$107 &lt; 2017</formula>
    </cfRule>
  </conditionalFormatting>
  <conditionalFormatting sqref="G108">
    <cfRule type="expression" dxfId="108" priority="40">
      <formula xml:space="preserve"> $G$107 &lt; 2017</formula>
    </cfRule>
    <cfRule type="expression" dxfId="107" priority="47">
      <formula xml:space="preserve"> $G107 &gt;= 2017</formula>
    </cfRule>
  </conditionalFormatting>
  <conditionalFormatting sqref="E108">
    <cfRule type="expression" dxfId="106" priority="44">
      <formula xml:space="preserve"> $E$107 &lt; 2017</formula>
    </cfRule>
  </conditionalFormatting>
  <conditionalFormatting sqref="D108">
    <cfRule type="expression" dxfId="105" priority="42">
      <formula>$D$107 &lt; 2017</formula>
    </cfRule>
  </conditionalFormatting>
  <conditionalFormatting sqref="F108">
    <cfRule type="expression" dxfId="104" priority="41">
      <formula xml:space="preserve"> $F$107 &lt; 2017</formula>
    </cfRule>
  </conditionalFormatting>
  <conditionalFormatting sqref="J99">
    <cfRule type="expression" dxfId="103" priority="38">
      <formula xml:space="preserve"> $M$99 &lt; 0</formula>
    </cfRule>
  </conditionalFormatting>
  <conditionalFormatting sqref="J100">
    <cfRule type="expression" dxfId="102" priority="37">
      <formula xml:space="preserve"> $M$100 &lt; 0</formula>
    </cfRule>
  </conditionalFormatting>
  <conditionalFormatting sqref="J101">
    <cfRule type="expression" dxfId="101" priority="36">
      <formula>$M$101 &lt; 0</formula>
    </cfRule>
  </conditionalFormatting>
  <conditionalFormatting sqref="J102">
    <cfRule type="expression" dxfId="100" priority="35">
      <formula>$M$102 &lt; 0</formula>
    </cfRule>
  </conditionalFormatting>
  <conditionalFormatting sqref="J103">
    <cfRule type="expression" dxfId="99" priority="34">
      <formula xml:space="preserve"> $M$103 &lt; 0</formula>
    </cfRule>
  </conditionalFormatting>
  <conditionalFormatting sqref="E99:E103">
    <cfRule type="expression" dxfId="98" priority="33">
      <formula xml:space="preserve"> $E$98 &gt;= 2017</formula>
    </cfRule>
  </conditionalFormatting>
  <conditionalFormatting sqref="D99">
    <cfRule type="expression" dxfId="97" priority="32">
      <formula xml:space="preserve"> $D$98 &gt;= 2017</formula>
    </cfRule>
  </conditionalFormatting>
  <conditionalFormatting sqref="D100">
    <cfRule type="expression" dxfId="96" priority="30">
      <formula xml:space="preserve"> $D$98 &gt;= 2017</formula>
    </cfRule>
  </conditionalFormatting>
  <conditionalFormatting sqref="D101">
    <cfRule type="expression" dxfId="95" priority="28">
      <formula xml:space="preserve"> $D$98 &gt;= 2017</formula>
    </cfRule>
  </conditionalFormatting>
  <conditionalFormatting sqref="D102">
    <cfRule type="expression" dxfId="94" priority="26">
      <formula xml:space="preserve"> $D$98 &gt;= 2017</formula>
    </cfRule>
  </conditionalFormatting>
  <conditionalFormatting sqref="D103">
    <cfRule type="expression" dxfId="93" priority="24">
      <formula>$D$98 &gt;= 2017</formula>
    </cfRule>
  </conditionalFormatting>
  <conditionalFormatting sqref="K108">
    <cfRule type="expression" dxfId="92" priority="39">
      <formula xml:space="preserve"> B110=TRUE</formula>
    </cfRule>
  </conditionalFormatting>
  <conditionalFormatting sqref="B109:K109">
    <cfRule type="expression" dxfId="91" priority="1">
      <formula>B110=TRUE</formula>
    </cfRule>
  </conditionalFormatting>
  <dataValidations xWindow="511" yWindow="440" count="1">
    <dataValidation type="list" showInputMessage="1" errorTitle="INVALID CITY SELECTED" error="PLEASE SELECT A VALID RITA CITY FROM THE DROP DOWN MENU. HIT &quot;CANCEL&quot; TO PROCEED." prompt="CLICK ON THE ARROW TO DISPLAY A LIST OF RITA CITIES." sqref="B16:C20" xr:uid="{00000000-0002-0000-0100-000000000000}">
      <formula1>DropTable1</formula1>
    </dataValidation>
  </dataValidations>
  <pageMargins left="0.75" right="0.75" top="1" bottom="1" header="0.5" footer="0.5"/>
  <pageSetup scale="85"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51" r:id="rId4" name="Check Box 3">
              <controlPr defaultSize="0" autoFill="0" autoLine="0" autoPict="0">
                <anchor moveWithCells="1">
                  <from>
                    <xdr:col>0</xdr:col>
                    <xdr:colOff>209550</xdr:colOff>
                    <xdr:row>8</xdr:row>
                    <xdr:rowOff>123825</xdr:rowOff>
                  </from>
                  <to>
                    <xdr:col>2</xdr:col>
                    <xdr:colOff>809625</xdr:colOff>
                    <xdr:row>10</xdr:row>
                    <xdr:rowOff>9525</xdr:rowOff>
                  </to>
                </anchor>
              </controlPr>
            </control>
          </mc:Choice>
        </mc:AlternateContent>
        <mc:AlternateContent xmlns:mc="http://schemas.openxmlformats.org/markup-compatibility/2006">
          <mc:Choice Requires="x14">
            <control shapeId="2052" r:id="rId5" name="Check Box 4">
              <controlPr defaultSize="0" autoFill="0" autoLine="0" autoPict="0">
                <anchor moveWithCells="1">
                  <from>
                    <xdr:col>0</xdr:col>
                    <xdr:colOff>209550</xdr:colOff>
                    <xdr:row>9</xdr:row>
                    <xdr:rowOff>133350</xdr:rowOff>
                  </from>
                  <to>
                    <xdr:col>2</xdr:col>
                    <xdr:colOff>790575</xdr:colOff>
                    <xdr:row>11</xdr:row>
                    <xdr:rowOff>9525</xdr:rowOff>
                  </to>
                </anchor>
              </controlPr>
            </control>
          </mc:Choice>
        </mc:AlternateContent>
        <mc:AlternateContent xmlns:mc="http://schemas.openxmlformats.org/markup-compatibility/2006">
          <mc:Choice Requires="x14">
            <control shapeId="2053" r:id="rId6" name="Check Box 5">
              <controlPr defaultSize="0" autoFill="0" autoLine="0" autoPict="0">
                <anchor moveWithCells="1">
                  <from>
                    <xdr:col>2</xdr:col>
                    <xdr:colOff>952500</xdr:colOff>
                    <xdr:row>8</xdr:row>
                    <xdr:rowOff>123825</xdr:rowOff>
                  </from>
                  <to>
                    <xdr:col>4</xdr:col>
                    <xdr:colOff>57150</xdr:colOff>
                    <xdr:row>10</xdr:row>
                    <xdr:rowOff>9525</xdr:rowOff>
                  </to>
                </anchor>
              </controlPr>
            </control>
          </mc:Choice>
        </mc:AlternateContent>
        <mc:AlternateContent xmlns:mc="http://schemas.openxmlformats.org/markup-compatibility/2006">
          <mc:Choice Requires="x14">
            <control shapeId="2054" r:id="rId7" name="Check Box 6">
              <controlPr defaultSize="0" autoFill="0" autoLine="0" autoPict="0">
                <anchor moveWithCells="1">
                  <from>
                    <xdr:col>2</xdr:col>
                    <xdr:colOff>952500</xdr:colOff>
                    <xdr:row>9</xdr:row>
                    <xdr:rowOff>133350</xdr:rowOff>
                  </from>
                  <to>
                    <xdr:col>4</xdr:col>
                    <xdr:colOff>114300</xdr:colOff>
                    <xdr:row>11</xdr:row>
                    <xdr:rowOff>9525</xdr:rowOff>
                  </to>
                </anchor>
              </controlPr>
            </control>
          </mc:Choice>
        </mc:AlternateContent>
        <mc:AlternateContent xmlns:mc="http://schemas.openxmlformats.org/markup-compatibility/2006">
          <mc:Choice Requires="x14">
            <control shapeId="2056" r:id="rId8" name="Check Box 8">
              <controlPr defaultSize="0" autoFill="0" autoLine="0" autoPict="0">
                <anchor moveWithCells="1">
                  <from>
                    <xdr:col>0</xdr:col>
                    <xdr:colOff>209550</xdr:colOff>
                    <xdr:row>10</xdr:row>
                    <xdr:rowOff>133350</xdr:rowOff>
                  </from>
                  <to>
                    <xdr:col>2</xdr:col>
                    <xdr:colOff>790575</xdr:colOff>
                    <xdr:row>12</xdr:row>
                    <xdr:rowOff>9525</xdr:rowOff>
                  </to>
                </anchor>
              </controlPr>
            </control>
          </mc:Choice>
        </mc:AlternateContent>
        <mc:AlternateContent xmlns:mc="http://schemas.openxmlformats.org/markup-compatibility/2006">
          <mc:Choice Requires="x14">
            <control shapeId="2057" r:id="rId9" name="Check Box 9">
              <controlPr defaultSize="0" autoFill="0" autoLine="0" autoPict="0">
                <anchor moveWithCells="1">
                  <from>
                    <xdr:col>2</xdr:col>
                    <xdr:colOff>952500</xdr:colOff>
                    <xdr:row>10</xdr:row>
                    <xdr:rowOff>133350</xdr:rowOff>
                  </from>
                  <to>
                    <xdr:col>4</xdr:col>
                    <xdr:colOff>123825</xdr:colOff>
                    <xdr:row>12</xdr:row>
                    <xdr:rowOff>9525</xdr:rowOff>
                  </to>
                </anchor>
              </controlPr>
            </control>
          </mc:Choice>
        </mc:AlternateContent>
        <mc:AlternateContent xmlns:mc="http://schemas.openxmlformats.org/markup-compatibility/2006">
          <mc:Choice Requires="x14">
            <control shapeId="2062" r:id="rId10" name="Check Box 14">
              <controlPr defaultSize="0" autoFill="0" autoLine="0" autoPict="0">
                <anchor moveWithCells="1">
                  <from>
                    <xdr:col>0</xdr:col>
                    <xdr:colOff>209550</xdr:colOff>
                    <xdr:row>11</xdr:row>
                    <xdr:rowOff>123825</xdr:rowOff>
                  </from>
                  <to>
                    <xdr:col>2</xdr:col>
                    <xdr:colOff>838200</xdr:colOff>
                    <xdr:row>13</xdr:row>
                    <xdr:rowOff>0</xdr:rowOff>
                  </to>
                </anchor>
              </controlPr>
            </control>
          </mc:Choice>
        </mc:AlternateContent>
        <mc:AlternateContent xmlns:mc="http://schemas.openxmlformats.org/markup-compatibility/2006">
          <mc:Choice Requires="x14">
            <control shapeId="2063" r:id="rId11" name="Check Box 15">
              <controlPr defaultSize="0" autoFill="0" autoLine="0" autoPict="0">
                <anchor moveWithCells="1">
                  <from>
                    <xdr:col>2</xdr:col>
                    <xdr:colOff>952500</xdr:colOff>
                    <xdr:row>11</xdr:row>
                    <xdr:rowOff>123825</xdr:rowOff>
                  </from>
                  <to>
                    <xdr:col>4</xdr:col>
                    <xdr:colOff>123825</xdr:colOff>
                    <xdr:row>13</xdr:row>
                    <xdr:rowOff>0</xdr:rowOff>
                  </to>
                </anchor>
              </controlPr>
            </control>
          </mc:Choice>
        </mc:AlternateContent>
        <mc:AlternateContent xmlns:mc="http://schemas.openxmlformats.org/markup-compatibility/2006">
          <mc:Choice Requires="x14">
            <control shapeId="2064" r:id="rId12" name="Check Box 16">
              <controlPr defaultSize="0" autoFill="0" autoLine="0" autoPict="0">
                <anchor moveWithCells="1">
                  <from>
                    <xdr:col>2</xdr:col>
                    <xdr:colOff>0</xdr:colOff>
                    <xdr:row>23</xdr:row>
                    <xdr:rowOff>190500</xdr:rowOff>
                  </from>
                  <to>
                    <xdr:col>3</xdr:col>
                    <xdr:colOff>419100</xdr:colOff>
                    <xdr:row>25</xdr:row>
                    <xdr:rowOff>9525</xdr:rowOff>
                  </to>
                </anchor>
              </controlPr>
            </control>
          </mc:Choice>
        </mc:AlternateContent>
        <mc:AlternateContent xmlns:mc="http://schemas.openxmlformats.org/markup-compatibility/2006">
          <mc:Choice Requires="x14">
            <control shapeId="2065" r:id="rId13" name="Check Box 17">
              <controlPr defaultSize="0" autoFill="0" autoLine="0" autoPict="0">
                <anchor moveWithCells="1">
                  <from>
                    <xdr:col>1</xdr:col>
                    <xdr:colOff>200025</xdr:colOff>
                    <xdr:row>30</xdr:row>
                    <xdr:rowOff>152400</xdr:rowOff>
                  </from>
                  <to>
                    <xdr:col>2</xdr:col>
                    <xdr:colOff>0</xdr:colOff>
                    <xdr:row>31</xdr:row>
                    <xdr:rowOff>276225</xdr:rowOff>
                  </to>
                </anchor>
              </controlPr>
            </control>
          </mc:Choice>
        </mc:AlternateContent>
        <mc:AlternateContent xmlns:mc="http://schemas.openxmlformats.org/markup-compatibility/2006">
          <mc:Choice Requires="x14">
            <control shapeId="2067" r:id="rId14" name="Check Box 19">
              <controlPr defaultSize="0" autoFill="0" autoLine="0" autoPict="0">
                <anchor moveWithCells="1">
                  <from>
                    <xdr:col>1</xdr:col>
                    <xdr:colOff>200025</xdr:colOff>
                    <xdr:row>33</xdr:row>
                    <xdr:rowOff>0</xdr:rowOff>
                  </from>
                  <to>
                    <xdr:col>2</xdr:col>
                    <xdr:colOff>0</xdr:colOff>
                    <xdr:row>34</xdr:row>
                    <xdr:rowOff>57150</xdr:rowOff>
                  </to>
                </anchor>
              </controlPr>
            </control>
          </mc:Choice>
        </mc:AlternateContent>
        <mc:AlternateContent xmlns:mc="http://schemas.openxmlformats.org/markup-compatibility/2006">
          <mc:Choice Requires="x14">
            <control shapeId="2069" r:id="rId15" name="Check Box 21">
              <controlPr defaultSize="0" autoFill="0" autoLine="0" autoPict="0">
                <anchor moveWithCells="1">
                  <from>
                    <xdr:col>8</xdr:col>
                    <xdr:colOff>95250</xdr:colOff>
                    <xdr:row>158</xdr:row>
                    <xdr:rowOff>95250</xdr:rowOff>
                  </from>
                  <to>
                    <xdr:col>9</xdr:col>
                    <xdr:colOff>295275</xdr:colOff>
                    <xdr:row>159</xdr:row>
                    <xdr:rowOff>152400</xdr:rowOff>
                  </to>
                </anchor>
              </controlPr>
            </control>
          </mc:Choice>
        </mc:AlternateContent>
        <mc:AlternateContent xmlns:mc="http://schemas.openxmlformats.org/markup-compatibility/2006">
          <mc:Choice Requires="x14">
            <control shapeId="2070" r:id="rId16" name="Check Box 22">
              <controlPr defaultSize="0" autoFill="0" autoLine="0" autoPict="0">
                <anchor moveWithCells="1">
                  <from>
                    <xdr:col>8</xdr:col>
                    <xdr:colOff>95250</xdr:colOff>
                    <xdr:row>159</xdr:row>
                    <xdr:rowOff>152400</xdr:rowOff>
                  </from>
                  <to>
                    <xdr:col>9</xdr:col>
                    <xdr:colOff>219075</xdr:colOff>
                    <xdr:row>159</xdr:row>
                    <xdr:rowOff>390525</xdr:rowOff>
                  </to>
                </anchor>
              </controlPr>
            </control>
          </mc:Choice>
        </mc:AlternateContent>
        <mc:AlternateContent xmlns:mc="http://schemas.openxmlformats.org/markup-compatibility/2006">
          <mc:Choice Requires="x14">
            <control shapeId="2071" r:id="rId17" name="Check Box 23">
              <controlPr defaultSize="0" autoFill="0" autoLine="0" autoPict="0">
                <anchor moveWithCells="1">
                  <from>
                    <xdr:col>5</xdr:col>
                    <xdr:colOff>47625</xdr:colOff>
                    <xdr:row>23</xdr:row>
                    <xdr:rowOff>190500</xdr:rowOff>
                  </from>
                  <to>
                    <xdr:col>6</xdr:col>
                    <xdr:colOff>600075</xdr:colOff>
                    <xdr:row>25</xdr:row>
                    <xdr:rowOff>9525</xdr:rowOff>
                  </to>
                </anchor>
              </controlPr>
            </control>
          </mc:Choice>
        </mc:AlternateContent>
        <mc:AlternateContent xmlns:mc="http://schemas.openxmlformats.org/markup-compatibility/2006">
          <mc:Choice Requires="x14">
            <control shapeId="2072" r:id="rId18" name="Check Box 24">
              <controlPr defaultSize="0" autoFill="0" autoLine="0" autoPict="0">
                <anchor moveWithCells="1">
                  <from>
                    <xdr:col>5</xdr:col>
                    <xdr:colOff>47625</xdr:colOff>
                    <xdr:row>23</xdr:row>
                    <xdr:rowOff>0</xdr:rowOff>
                  </from>
                  <to>
                    <xdr:col>6</xdr:col>
                    <xdr:colOff>581025</xdr:colOff>
                    <xdr:row>24</xdr:row>
                    <xdr:rowOff>19050</xdr:rowOff>
                  </to>
                </anchor>
              </controlPr>
            </control>
          </mc:Choice>
        </mc:AlternateContent>
        <mc:AlternateContent xmlns:mc="http://schemas.openxmlformats.org/markup-compatibility/2006">
          <mc:Choice Requires="x14">
            <control shapeId="2074" r:id="rId19" name="Check Box 26">
              <controlPr defaultSize="0" autoFill="0" autoLine="0" autoPict="0">
                <anchor moveWithCells="1">
                  <from>
                    <xdr:col>2</xdr:col>
                    <xdr:colOff>0</xdr:colOff>
                    <xdr:row>24</xdr:row>
                    <xdr:rowOff>171450</xdr:rowOff>
                  </from>
                  <to>
                    <xdr:col>2</xdr:col>
                    <xdr:colOff>1276350</xdr:colOff>
                    <xdr:row>26</xdr:row>
                    <xdr:rowOff>0</xdr:rowOff>
                  </to>
                </anchor>
              </controlPr>
            </control>
          </mc:Choice>
        </mc:AlternateContent>
        <mc:AlternateContent xmlns:mc="http://schemas.openxmlformats.org/markup-compatibility/2006">
          <mc:Choice Requires="x14">
            <control shapeId="2075" r:id="rId20" name="Check Box 27">
              <controlPr defaultSize="0" autoFill="0" autoLine="0" autoPict="0">
                <anchor moveWithCells="1">
                  <from>
                    <xdr:col>1</xdr:col>
                    <xdr:colOff>200025</xdr:colOff>
                    <xdr:row>27</xdr:row>
                    <xdr:rowOff>28575</xdr:rowOff>
                  </from>
                  <to>
                    <xdr:col>2</xdr:col>
                    <xdr:colOff>0</xdr:colOff>
                    <xdr:row>30</xdr:row>
                    <xdr:rowOff>19050</xdr:rowOff>
                  </to>
                </anchor>
              </controlPr>
            </control>
          </mc:Choice>
        </mc:AlternateContent>
        <mc:AlternateContent xmlns:mc="http://schemas.openxmlformats.org/markup-compatibility/2006">
          <mc:Choice Requires="x14">
            <control shapeId="2076" r:id="rId21" name="Check Box 28">
              <controlPr defaultSize="0" autoFill="0" autoLine="0" autoPict="0">
                <anchor moveWithCells="1">
                  <from>
                    <xdr:col>2</xdr:col>
                    <xdr:colOff>0</xdr:colOff>
                    <xdr:row>23</xdr:row>
                    <xdr:rowOff>0</xdr:rowOff>
                  </from>
                  <to>
                    <xdr:col>2</xdr:col>
                    <xdr:colOff>1343025</xdr:colOff>
                    <xdr:row>24</xdr:row>
                    <xdr:rowOff>19050</xdr:rowOff>
                  </to>
                </anchor>
              </controlPr>
            </control>
          </mc:Choice>
        </mc:AlternateContent>
        <mc:AlternateContent xmlns:mc="http://schemas.openxmlformats.org/markup-compatibility/2006">
          <mc:Choice Requires="x14">
            <control shapeId="2155" r:id="rId22" name="Check Box 107">
              <controlPr defaultSize="0" autoFill="0" autoLine="0" autoPict="0">
                <anchor moveWithCells="1">
                  <from>
                    <xdr:col>1</xdr:col>
                    <xdr:colOff>466725</xdr:colOff>
                    <xdr:row>36</xdr:row>
                    <xdr:rowOff>95250</xdr:rowOff>
                  </from>
                  <to>
                    <xdr:col>6</xdr:col>
                    <xdr:colOff>304800</xdr:colOff>
                    <xdr:row>39</xdr:row>
                    <xdr:rowOff>38100</xdr:rowOff>
                  </to>
                </anchor>
              </controlPr>
            </control>
          </mc:Choice>
        </mc:AlternateContent>
        <mc:AlternateContent xmlns:mc="http://schemas.openxmlformats.org/markup-compatibility/2006">
          <mc:Choice Requires="x14">
            <control shapeId="2165" r:id="rId23" name="Check Box 117">
              <controlPr defaultSize="0" autoFill="0" autoLine="0" autoPict="0">
                <anchor moveWithCells="1">
                  <from>
                    <xdr:col>1</xdr:col>
                    <xdr:colOff>200025</xdr:colOff>
                    <xdr:row>29</xdr:row>
                    <xdr:rowOff>95250</xdr:rowOff>
                  </from>
                  <to>
                    <xdr:col>2</xdr:col>
                    <xdr:colOff>0</xdr:colOff>
                    <xdr:row>31</xdr:row>
                    <xdr:rowOff>47625</xdr:rowOff>
                  </to>
                </anchor>
              </controlPr>
            </control>
          </mc:Choice>
        </mc:AlternateContent>
        <mc:AlternateContent xmlns:mc="http://schemas.openxmlformats.org/markup-compatibility/2006">
          <mc:Choice Requires="x14">
            <control shapeId="2168" r:id="rId24" name="Check Box 120">
              <controlPr defaultSize="0" autoFill="0" autoLine="0" autoPict="0" altText="Consolidated filer with 80% ownership of a Pass-Through Entity">
                <anchor moveWithCells="1">
                  <from>
                    <xdr:col>2</xdr:col>
                    <xdr:colOff>0</xdr:colOff>
                    <xdr:row>26</xdr:row>
                    <xdr:rowOff>0</xdr:rowOff>
                  </from>
                  <to>
                    <xdr:col>7</xdr:col>
                    <xdr:colOff>200025</xdr:colOff>
                    <xdr:row>28</xdr:row>
                    <xdr:rowOff>0</xdr:rowOff>
                  </to>
                </anchor>
              </controlPr>
            </control>
          </mc:Choice>
        </mc:AlternateContent>
        <mc:AlternateContent xmlns:mc="http://schemas.openxmlformats.org/markup-compatibility/2006">
          <mc:Choice Requires="x14">
            <control shapeId="2171" r:id="rId25" name="Check Box 123">
              <controlPr defaultSize="0" autoFill="0" autoLine="0" autoPict="0">
                <anchor moveWithCells="1">
                  <from>
                    <xdr:col>9</xdr:col>
                    <xdr:colOff>257175</xdr:colOff>
                    <xdr:row>95</xdr:row>
                    <xdr:rowOff>66675</xdr:rowOff>
                  </from>
                  <to>
                    <xdr:col>9</xdr:col>
                    <xdr:colOff>485775</xdr:colOff>
                    <xdr:row>95</xdr:row>
                    <xdr:rowOff>257175</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31" stopIfTrue="1" id="{F96BD922-3EA9-4E77-9D44-5E5E6540C512}">
            <xm:f xml:space="preserve"> $D$98 &lt;= Data!$B$40</xm:f>
            <x14:dxf>
              <fill>
                <patternFill patternType="lightUp">
                  <bgColor rgb="FFCCFFFF"/>
                </patternFill>
              </fill>
            </x14:dxf>
          </x14:cfRule>
          <xm:sqref>D99</xm:sqref>
        </x14:conditionalFormatting>
        <x14:conditionalFormatting xmlns:xm="http://schemas.microsoft.com/office/excel/2006/main">
          <x14:cfRule type="expression" priority="29" stopIfTrue="1" id="{1B54931B-7862-4269-BBC4-65D2CA8A8D92}">
            <xm:f xml:space="preserve"> $D$98 &lt;= Data!$B$41</xm:f>
            <x14:dxf>
              <fill>
                <patternFill patternType="lightUp"/>
              </fill>
            </x14:dxf>
          </x14:cfRule>
          <xm:sqref>D100</xm:sqref>
        </x14:conditionalFormatting>
        <x14:conditionalFormatting xmlns:xm="http://schemas.microsoft.com/office/excel/2006/main">
          <x14:cfRule type="expression" priority="27" stopIfTrue="1" id="{7AE48B45-45A1-41ED-8155-FFF644EF34EF}">
            <xm:f xml:space="preserve"> $D$98 &lt;= Data!$B$42</xm:f>
            <x14:dxf>
              <fill>
                <patternFill patternType="lightUp"/>
              </fill>
            </x14:dxf>
          </x14:cfRule>
          <xm:sqref>D101</xm:sqref>
        </x14:conditionalFormatting>
        <x14:conditionalFormatting xmlns:xm="http://schemas.microsoft.com/office/excel/2006/main">
          <x14:cfRule type="expression" priority="25" id="{5C70C096-F889-419A-9BB4-78A7B191B0F8}">
            <xm:f xml:space="preserve"> $D$98 &lt;= Data!$B$43</xm:f>
            <x14:dxf>
              <fill>
                <patternFill patternType="lightUp"/>
              </fill>
            </x14:dxf>
          </x14:cfRule>
          <xm:sqref>D102</xm:sqref>
        </x14:conditionalFormatting>
        <x14:conditionalFormatting xmlns:xm="http://schemas.microsoft.com/office/excel/2006/main">
          <x14:cfRule type="expression" priority="23" id="{98683962-BE60-4D85-B85B-DE78A1C8B752}">
            <xm:f xml:space="preserve"> $D$98 &lt;= Data!$B$44</xm:f>
            <x14:dxf>
              <fill>
                <patternFill patternType="lightUp"/>
              </fill>
            </x14:dxf>
          </x14:cfRule>
          <xm:sqref>D103</xm:sqref>
        </x14:conditionalFormatting>
        <x14:conditionalFormatting xmlns:xm="http://schemas.microsoft.com/office/excel/2006/main">
          <x14:cfRule type="expression" priority="21" stopIfTrue="1" id="{DCBCDCA6-23BB-4753-A470-9BBBF8858A13}">
            <xm:f xml:space="preserve"> $E$98 &lt;= Data!$B$40</xm:f>
            <x14:dxf>
              <fill>
                <patternFill patternType="lightUp"/>
              </fill>
            </x14:dxf>
          </x14:cfRule>
          <xm:sqref>E99</xm:sqref>
        </x14:conditionalFormatting>
        <x14:conditionalFormatting xmlns:xm="http://schemas.microsoft.com/office/excel/2006/main">
          <x14:cfRule type="expression" priority="20" stopIfTrue="1" id="{6B3198AE-55D1-49AB-8C58-16B613C72933}">
            <xm:f xml:space="preserve"> $E$98 &lt;= Data!$B$41</xm:f>
            <x14:dxf>
              <fill>
                <patternFill patternType="lightUp"/>
              </fill>
            </x14:dxf>
          </x14:cfRule>
          <xm:sqref>E100</xm:sqref>
        </x14:conditionalFormatting>
        <x14:conditionalFormatting xmlns:xm="http://schemas.microsoft.com/office/excel/2006/main">
          <x14:cfRule type="expression" priority="19" stopIfTrue="1" id="{B3756889-3C61-46E7-9EA2-629EF0AEFA17}">
            <xm:f xml:space="preserve"> $E$98 &lt;= Data!$B$42</xm:f>
            <x14:dxf>
              <fill>
                <patternFill patternType="lightUp"/>
              </fill>
            </x14:dxf>
          </x14:cfRule>
          <xm:sqref>E101</xm:sqref>
        </x14:conditionalFormatting>
        <x14:conditionalFormatting xmlns:xm="http://schemas.microsoft.com/office/excel/2006/main">
          <x14:cfRule type="expression" priority="18" stopIfTrue="1" id="{5CE8AD94-6BB1-4E9D-9C65-62DFF0785386}">
            <xm:f xml:space="preserve"> $E$98 &lt;= Data!$B$43</xm:f>
            <x14:dxf>
              <fill>
                <patternFill patternType="lightUp"/>
              </fill>
            </x14:dxf>
          </x14:cfRule>
          <xm:sqref>E102</xm:sqref>
        </x14:conditionalFormatting>
        <x14:conditionalFormatting xmlns:xm="http://schemas.microsoft.com/office/excel/2006/main">
          <x14:cfRule type="expression" priority="17" stopIfTrue="1" id="{F8C77252-EA11-4453-A842-BA783261C815}">
            <xm:f xml:space="preserve"> $E$98 &lt;= Data!$B$44</xm:f>
            <x14:dxf>
              <fill>
                <patternFill patternType="lightUp"/>
              </fill>
            </x14:dxf>
          </x14:cfRule>
          <xm:sqref>E103</xm:sqref>
        </x14:conditionalFormatting>
        <x14:conditionalFormatting xmlns:xm="http://schemas.microsoft.com/office/excel/2006/main">
          <x14:cfRule type="expression" priority="16" stopIfTrue="1" id="{2CD7871D-6800-447C-9871-739E0AB896E2}">
            <xm:f xml:space="preserve"> $F$98 &lt;= Data!$B$40</xm:f>
            <x14:dxf>
              <fill>
                <patternFill patternType="lightUp"/>
              </fill>
            </x14:dxf>
          </x14:cfRule>
          <xm:sqref>F99</xm:sqref>
        </x14:conditionalFormatting>
        <x14:conditionalFormatting xmlns:xm="http://schemas.microsoft.com/office/excel/2006/main">
          <x14:cfRule type="expression" priority="15" stopIfTrue="1" id="{6572FA54-AFBB-4E62-966E-AC70F84C9CE9}">
            <xm:f xml:space="preserve"> $G$98 &lt;= Data!$B$40</xm:f>
            <x14:dxf>
              <fill>
                <patternFill patternType="lightUp"/>
              </fill>
            </x14:dxf>
          </x14:cfRule>
          <xm:sqref>G99</xm:sqref>
        </x14:conditionalFormatting>
        <x14:conditionalFormatting xmlns:xm="http://schemas.microsoft.com/office/excel/2006/main">
          <x14:cfRule type="expression" priority="14" stopIfTrue="1" id="{37277146-2836-47EC-94E1-87F15CC8C1AB}">
            <xm:f xml:space="preserve"> $H$98 &lt;= Data!$B$40</xm:f>
            <x14:dxf>
              <fill>
                <patternFill patternType="lightUp"/>
              </fill>
            </x14:dxf>
          </x14:cfRule>
          <xm:sqref>H99:I99</xm:sqref>
        </x14:conditionalFormatting>
        <x14:conditionalFormatting xmlns:xm="http://schemas.microsoft.com/office/excel/2006/main">
          <x14:cfRule type="expression" priority="13" stopIfTrue="1" id="{19BD99AF-AB2F-47A6-A3C4-EAFA2EA14C7F}">
            <xm:f xml:space="preserve"> $F$98 &lt;=  Data!$B$41</xm:f>
            <x14:dxf>
              <fill>
                <patternFill patternType="lightUp"/>
              </fill>
            </x14:dxf>
          </x14:cfRule>
          <xm:sqref>F100</xm:sqref>
        </x14:conditionalFormatting>
        <x14:conditionalFormatting xmlns:xm="http://schemas.microsoft.com/office/excel/2006/main">
          <x14:cfRule type="expression" priority="12" stopIfTrue="1" id="{E1700D09-EE38-42D4-9BA5-67BE5EE61F6E}">
            <xm:f xml:space="preserve"> $G$98 &lt;=  Data!$B$41</xm:f>
            <x14:dxf>
              <fill>
                <patternFill patternType="lightUp"/>
              </fill>
            </x14:dxf>
          </x14:cfRule>
          <xm:sqref>G100</xm:sqref>
        </x14:conditionalFormatting>
        <x14:conditionalFormatting xmlns:xm="http://schemas.microsoft.com/office/excel/2006/main">
          <x14:cfRule type="expression" priority="11" stopIfTrue="1" id="{65EC5888-98DD-4373-BD8B-7781025CD3E8}">
            <xm:f>$H$98 &lt;=  Data!$B$41</xm:f>
            <x14:dxf>
              <fill>
                <patternFill patternType="lightUp"/>
              </fill>
            </x14:dxf>
          </x14:cfRule>
          <xm:sqref>H100:I100</xm:sqref>
        </x14:conditionalFormatting>
        <x14:conditionalFormatting xmlns:xm="http://schemas.microsoft.com/office/excel/2006/main">
          <x14:cfRule type="expression" priority="10" stopIfTrue="1" id="{8E295A37-DD1E-4C69-BA42-693653B8760F}">
            <xm:f xml:space="preserve"> $F$98 &lt;= Data!$B$42</xm:f>
            <x14:dxf>
              <fill>
                <patternFill patternType="lightUp"/>
              </fill>
            </x14:dxf>
          </x14:cfRule>
          <xm:sqref>F101</xm:sqref>
        </x14:conditionalFormatting>
        <x14:conditionalFormatting xmlns:xm="http://schemas.microsoft.com/office/excel/2006/main">
          <x14:cfRule type="expression" priority="9" stopIfTrue="1" id="{92A6F741-33FE-47E1-85DA-84CECC8596A4}">
            <xm:f xml:space="preserve"> $G$98 &lt;= Data!$B$42</xm:f>
            <x14:dxf>
              <fill>
                <patternFill patternType="lightUp"/>
              </fill>
            </x14:dxf>
          </x14:cfRule>
          <xm:sqref>G101</xm:sqref>
        </x14:conditionalFormatting>
        <x14:conditionalFormatting xmlns:xm="http://schemas.microsoft.com/office/excel/2006/main">
          <x14:cfRule type="expression" priority="8" stopIfTrue="1" id="{15290E4C-E406-4852-AFC8-9C0844E06DBD}">
            <xm:f xml:space="preserve"> $H$98 &lt;= Data!$B$42</xm:f>
            <x14:dxf>
              <fill>
                <patternFill patternType="lightUp"/>
              </fill>
            </x14:dxf>
          </x14:cfRule>
          <xm:sqref>H101:I101</xm:sqref>
        </x14:conditionalFormatting>
        <x14:conditionalFormatting xmlns:xm="http://schemas.microsoft.com/office/excel/2006/main">
          <x14:cfRule type="expression" priority="7" stopIfTrue="1" id="{0AEE3DFC-0ACB-4BAC-A750-DF79B0B41CD0}">
            <xm:f xml:space="preserve"> $F$98 &lt;= Data!$B$43</xm:f>
            <x14:dxf>
              <fill>
                <patternFill patternType="lightUp"/>
              </fill>
            </x14:dxf>
          </x14:cfRule>
          <xm:sqref>F102</xm:sqref>
        </x14:conditionalFormatting>
        <x14:conditionalFormatting xmlns:xm="http://schemas.microsoft.com/office/excel/2006/main">
          <x14:cfRule type="expression" priority="6" stopIfTrue="1" id="{FE2BD4C5-F456-49CC-97F0-3E55BE1F92D6}">
            <xm:f xml:space="preserve"> $G$98 &lt;= Data!$B$43</xm:f>
            <x14:dxf>
              <fill>
                <patternFill patternType="lightUp"/>
              </fill>
            </x14:dxf>
          </x14:cfRule>
          <xm:sqref>G102</xm:sqref>
        </x14:conditionalFormatting>
        <x14:conditionalFormatting xmlns:xm="http://schemas.microsoft.com/office/excel/2006/main">
          <x14:cfRule type="expression" priority="5" stopIfTrue="1" id="{A37A1F63-1C55-41B3-90B8-C7AF9FD4D784}">
            <xm:f xml:space="preserve"> $H$98 &lt;= Data!$B$43</xm:f>
            <x14:dxf>
              <fill>
                <patternFill patternType="lightUp"/>
              </fill>
            </x14:dxf>
          </x14:cfRule>
          <xm:sqref>H102:I102</xm:sqref>
        </x14:conditionalFormatting>
        <x14:conditionalFormatting xmlns:xm="http://schemas.microsoft.com/office/excel/2006/main">
          <x14:cfRule type="expression" priority="4" stopIfTrue="1" id="{D69FA36F-F62F-4059-9B85-898853902368}">
            <xm:f xml:space="preserve"> $F$98 &lt;= Data!$B$44</xm:f>
            <x14:dxf>
              <fill>
                <patternFill patternType="lightUp"/>
              </fill>
            </x14:dxf>
          </x14:cfRule>
          <xm:sqref>F103</xm:sqref>
        </x14:conditionalFormatting>
        <x14:conditionalFormatting xmlns:xm="http://schemas.microsoft.com/office/excel/2006/main">
          <x14:cfRule type="expression" priority="3" stopIfTrue="1" id="{43847376-CA72-42C9-8100-7230FA3FAD60}">
            <xm:f xml:space="preserve"> $G$98 &lt;= Data!$B$44</xm:f>
            <x14:dxf>
              <fill>
                <patternFill patternType="lightUp"/>
              </fill>
            </x14:dxf>
          </x14:cfRule>
          <xm:sqref>G103</xm:sqref>
        </x14:conditionalFormatting>
        <x14:conditionalFormatting xmlns:xm="http://schemas.microsoft.com/office/excel/2006/main">
          <x14:cfRule type="expression" priority="2" stopIfTrue="1" id="{18C4277A-718C-46BD-B7B6-3A380995179F}">
            <xm:f xml:space="preserve"> $H$98 &lt;= Data!$B$44</xm:f>
            <x14:dxf>
              <fill>
                <patternFill patternType="lightUp"/>
              </fill>
            </x14:dxf>
          </x14:cfRule>
          <xm:sqref>H103:I103</xm:sqref>
        </x14:conditionalFormatting>
      </x14:conditionalFormatting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5"/>
  <dimension ref="A1:Q246"/>
  <sheetViews>
    <sheetView showGridLines="0" topLeftCell="A250" zoomScaleNormal="100" workbookViewId="0">
      <selection activeCell="A2" sqref="A2:B6"/>
    </sheetView>
  </sheetViews>
  <sheetFormatPr defaultRowHeight="12.75" x14ac:dyDescent="0.2"/>
  <cols>
    <col min="1" max="1" width="2.7109375" customWidth="1"/>
    <col min="2" max="3" width="3.7109375" customWidth="1"/>
    <col min="4" max="6" width="8.7109375" customWidth="1"/>
    <col min="7" max="7" width="9.5703125" customWidth="1"/>
    <col min="8" max="8" width="7.7109375" customWidth="1"/>
    <col min="9" max="10" width="7.140625" customWidth="1"/>
    <col min="11" max="11" width="5.7109375" customWidth="1"/>
    <col min="12" max="12" width="4.42578125" customWidth="1"/>
    <col min="13" max="14" width="6.7109375" customWidth="1"/>
    <col min="15" max="15" width="6.7109375" style="798" customWidth="1"/>
  </cols>
  <sheetData>
    <row r="1" spans="1:15" ht="9" customHeight="1" x14ac:dyDescent="0.2">
      <c r="A1" s="628"/>
      <c r="B1" s="629"/>
      <c r="C1" s="517"/>
      <c r="E1" s="517"/>
      <c r="F1" s="517"/>
      <c r="G1" s="517"/>
      <c r="H1" s="517"/>
      <c r="I1" s="517"/>
      <c r="J1" s="517"/>
      <c r="K1" s="631" t="s">
        <v>882</v>
      </c>
      <c r="L1" s="631"/>
      <c r="M1" s="631"/>
      <c r="N1" s="631"/>
    </row>
    <row r="2" spans="1:15" ht="9" customHeight="1" x14ac:dyDescent="0.2">
      <c r="A2" s="1241" t="s">
        <v>881</v>
      </c>
      <c r="B2" s="1242"/>
      <c r="C2" s="517"/>
      <c r="E2" s="517"/>
      <c r="F2" s="517"/>
      <c r="G2" s="517"/>
      <c r="H2" s="517"/>
      <c r="I2" s="517"/>
      <c r="J2" s="517"/>
      <c r="K2" s="631" t="s">
        <v>883</v>
      </c>
      <c r="L2" s="631"/>
      <c r="M2" s="1204" t="s">
        <v>884</v>
      </c>
      <c r="N2" s="1204"/>
    </row>
    <row r="3" spans="1:15" ht="9" customHeight="1" x14ac:dyDescent="0.25">
      <c r="A3" s="1241"/>
      <c r="B3" s="1242"/>
      <c r="D3" s="1211" t="s">
        <v>159</v>
      </c>
      <c r="E3" s="1211"/>
      <c r="F3" s="1211"/>
      <c r="G3" s="1211"/>
      <c r="H3" s="624"/>
      <c r="K3" s="631" t="s">
        <v>885</v>
      </c>
      <c r="L3" s="631"/>
      <c r="M3" s="1204" t="s">
        <v>888</v>
      </c>
      <c r="N3" s="1204"/>
    </row>
    <row r="4" spans="1:15" ht="9" customHeight="1" x14ac:dyDescent="0.25">
      <c r="A4" s="1241"/>
      <c r="B4" s="1242"/>
      <c r="D4" s="1211"/>
      <c r="E4" s="1211"/>
      <c r="F4" s="1211"/>
      <c r="G4" s="1211"/>
      <c r="H4" s="624"/>
      <c r="K4" s="631" t="s">
        <v>1007</v>
      </c>
      <c r="L4" s="631"/>
      <c r="M4" s="1204" t="s">
        <v>889</v>
      </c>
      <c r="N4" s="1204"/>
    </row>
    <row r="5" spans="1:15" ht="9" customHeight="1" x14ac:dyDescent="0.2">
      <c r="A5" s="1241"/>
      <c r="B5" s="1242"/>
      <c r="D5" s="1217" t="s">
        <v>880</v>
      </c>
      <c r="E5" s="1217"/>
      <c r="F5" s="1217"/>
      <c r="G5" s="1217"/>
      <c r="H5" s="1217"/>
      <c r="K5" s="631" t="s">
        <v>886</v>
      </c>
      <c r="L5" s="631"/>
      <c r="M5" s="1205" t="s">
        <v>890</v>
      </c>
      <c r="N5" s="1205"/>
    </row>
    <row r="6" spans="1:15" ht="9" customHeight="1" x14ac:dyDescent="0.2">
      <c r="A6" s="1243"/>
      <c r="B6" s="1244"/>
      <c r="C6" s="415"/>
      <c r="D6" s="1218"/>
      <c r="E6" s="1218"/>
      <c r="F6" s="1218"/>
      <c r="G6" s="1218"/>
      <c r="H6" s="1218"/>
      <c r="I6" s="630" t="str">
        <f>+'Complete This Page'!J1</f>
        <v>NPAC v2018.0</v>
      </c>
      <c r="J6" s="25"/>
      <c r="K6" s="632" t="s">
        <v>887</v>
      </c>
      <c r="L6" s="632"/>
      <c r="M6" s="1216" t="s">
        <v>891</v>
      </c>
      <c r="N6" s="1216"/>
    </row>
    <row r="7" spans="1:15" ht="3.75" customHeight="1" x14ac:dyDescent="0.2"/>
    <row r="8" spans="1:15" ht="15.75" x14ac:dyDescent="0.25">
      <c r="A8" s="1" t="s">
        <v>546</v>
      </c>
      <c r="E8" s="356">
        <f>IF('Complete This Page'!G11&lt;&gt;0,'Complete This Page'!G11,"")</f>
        <v>2018</v>
      </c>
      <c r="F8" s="1230" t="s">
        <v>549</v>
      </c>
      <c r="G8" s="1230"/>
      <c r="H8" s="1230"/>
      <c r="I8" s="1222" t="str">
        <f>IF('Complete This Page'!H11&lt;&gt;"",'Complete This Page'!H11,"")</f>
        <v/>
      </c>
      <c r="J8" s="1223"/>
      <c r="K8" s="1257" t="s">
        <v>550</v>
      </c>
      <c r="L8" s="1257"/>
      <c r="M8" s="1222" t="str">
        <f>IF('Complete This Page'!J11&lt;&gt;"",'Complete This Page'!J11,"")</f>
        <v/>
      </c>
      <c r="N8" s="1223"/>
    </row>
    <row r="9" spans="1:15" s="1" customFormat="1" ht="11.25" x14ac:dyDescent="0.2">
      <c r="A9" s="1224" t="s">
        <v>1639</v>
      </c>
      <c r="B9" s="1224"/>
      <c r="C9" s="1224"/>
      <c r="D9" s="1224"/>
      <c r="E9" s="1224"/>
      <c r="F9" s="1224"/>
      <c r="G9" s="1224"/>
      <c r="H9" s="1224"/>
      <c r="I9" s="1224"/>
      <c r="J9" s="1224"/>
      <c r="K9" s="1224"/>
      <c r="L9" s="1224"/>
      <c r="M9" s="1224"/>
      <c r="N9" s="1224"/>
      <c r="O9" s="799"/>
    </row>
    <row r="10" spans="1:15" s="67" customFormat="1" ht="1.5" customHeight="1" x14ac:dyDescent="0.2">
      <c r="A10" s="28"/>
      <c r="B10" s="28"/>
      <c r="C10" s="28"/>
      <c r="D10" s="28"/>
      <c r="E10" s="29"/>
      <c r="F10" s="240"/>
      <c r="G10" s="240"/>
      <c r="H10" s="240"/>
      <c r="I10" s="30"/>
      <c r="J10" s="30"/>
      <c r="K10" s="241"/>
      <c r="L10" s="241"/>
      <c r="M10" s="241"/>
      <c r="N10" s="30"/>
      <c r="O10" s="798"/>
    </row>
    <row r="11" spans="1:15" s="67" customFormat="1" x14ac:dyDescent="0.2">
      <c r="A11" s="28" t="s">
        <v>597</v>
      </c>
      <c r="B11" s="28"/>
      <c r="C11" s="28"/>
      <c r="D11" s="28"/>
      <c r="E11" s="29"/>
      <c r="F11" s="240"/>
      <c r="G11" s="240"/>
      <c r="H11" s="240"/>
      <c r="I11" s="30"/>
      <c r="J11" s="1219" t="str">
        <f>IF(Data!B168=TRUE,Data!C168,"")</f>
        <v/>
      </c>
      <c r="K11" s="1220"/>
      <c r="L11" s="1221"/>
      <c r="M11" s="633"/>
      <c r="N11" s="634"/>
      <c r="O11" s="798"/>
    </row>
    <row r="12" spans="1:15" s="7" customFormat="1" ht="12.75" customHeight="1" x14ac:dyDescent="0.15">
      <c r="M12" s="362"/>
      <c r="N12" s="635"/>
      <c r="O12" s="800"/>
    </row>
    <row r="13" spans="1:15" x14ac:dyDescent="0.2">
      <c r="J13" s="1219" t="str">
        <f>IF(Data!B166=TRUE,Data!C166,"")</f>
        <v/>
      </c>
      <c r="K13" s="1220"/>
      <c r="L13" s="1221"/>
      <c r="M13" s="633"/>
      <c r="N13" s="16"/>
    </row>
    <row r="14" spans="1:15" ht="15" customHeight="1" x14ac:dyDescent="0.2"/>
    <row r="15" spans="1:15" ht="3" customHeight="1" x14ac:dyDescent="0.2">
      <c r="E15" s="370"/>
      <c r="F15" s="370"/>
      <c r="G15" s="370"/>
    </row>
    <row r="16" spans="1:15" ht="15.75" customHeight="1" x14ac:dyDescent="0.25">
      <c r="A16" s="1" t="s">
        <v>551</v>
      </c>
      <c r="I16" s="1204" t="s">
        <v>598</v>
      </c>
      <c r="J16" s="1204"/>
      <c r="K16" s="1204"/>
      <c r="L16" s="1204"/>
      <c r="M16" s="1225" t="str">
        <f>IF('Complete This Page'!G5&lt;&gt;"",'Complete This Page'!G5,"")</f>
        <v/>
      </c>
      <c r="N16" s="1226"/>
    </row>
    <row r="17" spans="1:17" x14ac:dyDescent="0.2">
      <c r="I17" s="1204" t="s">
        <v>599</v>
      </c>
      <c r="J17" s="1204"/>
      <c r="K17" s="1212" t="str">
        <f>IF('Complete This Page'!G7&lt;&gt;"",'Complete This Page'!G7,"")</f>
        <v/>
      </c>
      <c r="L17" s="1213"/>
      <c r="M17" s="1213"/>
      <c r="N17" s="1214"/>
    </row>
    <row r="18" spans="1:17" ht="7.5" customHeight="1" x14ac:dyDescent="0.2">
      <c r="I18" s="617"/>
      <c r="J18" s="617"/>
      <c r="K18" s="627"/>
      <c r="L18" s="627"/>
      <c r="M18" s="627"/>
      <c r="N18" s="627"/>
    </row>
    <row r="19" spans="1:17" x14ac:dyDescent="0.2">
      <c r="I19" s="617"/>
      <c r="J19" s="617"/>
      <c r="K19" s="627"/>
      <c r="L19" s="627"/>
      <c r="M19" s="627"/>
      <c r="N19" s="627"/>
    </row>
    <row r="20" spans="1:17" ht="2.25" customHeight="1" x14ac:dyDescent="0.2"/>
    <row r="21" spans="1:17" s="7" customFormat="1" ht="7.5" customHeight="1" x14ac:dyDescent="0.15">
      <c r="A21" s="7" t="s">
        <v>539</v>
      </c>
      <c r="I21" s="7" t="s">
        <v>135</v>
      </c>
      <c r="O21" s="800"/>
    </row>
    <row r="22" spans="1:17" ht="15.75" x14ac:dyDescent="0.25">
      <c r="A22" s="1227" t="str">
        <f>IF('Complete This Page'!B3&lt;&gt;"",'Complete This Page'!B3,"Error: No Company Name Entered")</f>
        <v>Error: No Company Name Entered</v>
      </c>
      <c r="B22" s="1228"/>
      <c r="C22" s="1228"/>
      <c r="D22" s="1228"/>
      <c r="E22" s="1228"/>
      <c r="F22" s="1228"/>
      <c r="G22" s="1228"/>
      <c r="H22" s="1229"/>
      <c r="I22" s="1261" t="str">
        <f>IF('Complete This Page'!G3&lt;&gt;"",'Complete This Page'!G3,"Error: No EIN Entered")</f>
        <v>Error: No EIN Entered</v>
      </c>
      <c r="J22" s="1261"/>
      <c r="K22" s="1261"/>
      <c r="L22" s="1261"/>
      <c r="M22" s="523"/>
    </row>
    <row r="23" spans="1:17" s="7" customFormat="1" ht="8.25" x14ac:dyDescent="0.15">
      <c r="A23" s="7" t="s">
        <v>540</v>
      </c>
      <c r="D23" s="7" t="s">
        <v>542</v>
      </c>
      <c r="I23" s="7" t="s">
        <v>545</v>
      </c>
      <c r="O23" s="800"/>
    </row>
    <row r="24" spans="1:17" ht="15.75" x14ac:dyDescent="0.25">
      <c r="A24" s="1209" t="str">
        <f>IF('Complete This Page'!B5&lt;&gt;"",'Complete This Page'!B5,"")</f>
        <v/>
      </c>
      <c r="B24" s="1248"/>
      <c r="C24" s="1210"/>
      <c r="D24" s="1247" t="str">
        <f>IF('Complete This Page'!C5&lt;&gt;"",'Complete This Page'!C5,"Error: No Street Name Entered")</f>
        <v>Error: No Street Name Entered</v>
      </c>
      <c r="E24" s="1247"/>
      <c r="F24" s="1247"/>
      <c r="G24" s="1247"/>
      <c r="H24" s="1247"/>
      <c r="I24" s="1209" t="str">
        <f>IF('Complete This Page'!E5&lt;&gt;"",CONCATENATE("Ste ",'Complete This Page'!E5),"")</f>
        <v/>
      </c>
      <c r="J24" s="1210"/>
      <c r="K24" s="26"/>
    </row>
    <row r="25" spans="1:17" s="7" customFormat="1" ht="8.25" x14ac:dyDescent="0.15">
      <c r="A25" s="7" t="s">
        <v>541</v>
      </c>
      <c r="I25" s="54" t="s">
        <v>544</v>
      </c>
      <c r="J25" s="7" t="s">
        <v>543</v>
      </c>
      <c r="O25" s="800"/>
    </row>
    <row r="26" spans="1:17" ht="15.75" x14ac:dyDescent="0.25">
      <c r="A26" s="1247" t="str">
        <f>IF('Complete This Page'!B7&lt;&gt;"",'Complete This Page'!B7,"Error: No City Name Entered")</f>
        <v>Error: No City Name Entered</v>
      </c>
      <c r="B26" s="1247"/>
      <c r="C26" s="1247"/>
      <c r="D26" s="1247"/>
      <c r="E26" s="1247"/>
      <c r="F26" s="1247"/>
      <c r="G26" s="1247"/>
      <c r="H26" s="1247"/>
      <c r="I26" s="356" t="str">
        <f>IF('Complete This Page'!D7&lt;&gt;"",'Complete This Page'!D7,"")</f>
        <v/>
      </c>
      <c r="J26" s="1258" t="str">
        <f>IF('Complete This Page'!E7&lt;&gt;"",'Complete This Page'!E7,"")</f>
        <v/>
      </c>
      <c r="K26" s="1259"/>
      <c r="L26" s="1260"/>
    </row>
    <row r="27" spans="1:17" ht="3.75" customHeight="1" x14ac:dyDescent="0.2"/>
    <row r="28" spans="1:17" ht="2.25" customHeight="1" x14ac:dyDescent="0.3">
      <c r="Q28" s="355"/>
    </row>
    <row r="29" spans="1:17" ht="15.75" x14ac:dyDescent="0.25">
      <c r="A29" s="654">
        <v>1</v>
      </c>
      <c r="B29" s="655" t="s">
        <v>1547</v>
      </c>
      <c r="K29" s="12">
        <f>+A29</f>
        <v>1</v>
      </c>
      <c r="L29" s="1206">
        <f>+L185</f>
        <v>0</v>
      </c>
      <c r="M29" s="1207"/>
      <c r="N29" s="1208"/>
    </row>
    <row r="30" spans="1:17" s="626" customFormat="1" ht="7.5" customHeight="1" x14ac:dyDescent="0.15">
      <c r="A30" s="625"/>
      <c r="B30" s="1231" t="str">
        <f>CONCATENATE("(per attached ",References!C258,")")</f>
        <v>(per attached No guidance available)</v>
      </c>
      <c r="C30" s="1231"/>
      <c r="D30" s="1231"/>
      <c r="E30" s="1231"/>
      <c r="F30" s="1231"/>
      <c r="G30" s="1231"/>
      <c r="H30" s="1231"/>
      <c r="O30" s="801"/>
    </row>
    <row r="31" spans="1:17" ht="15.75" x14ac:dyDescent="0.25">
      <c r="A31" s="654">
        <v>2</v>
      </c>
      <c r="B31" s="652" t="s">
        <v>547</v>
      </c>
      <c r="C31" s="653" t="s">
        <v>903</v>
      </c>
      <c r="I31" s="618"/>
      <c r="J31" s="1215" t="s">
        <v>552</v>
      </c>
      <c r="K31" s="1268"/>
      <c r="L31" s="1206">
        <f>L153</f>
        <v>0</v>
      </c>
      <c r="M31" s="1207"/>
      <c r="N31" s="1208"/>
    </row>
    <row r="32" spans="1:17" s="106" customFormat="1" ht="7.5" customHeight="1" x14ac:dyDescent="0.15">
      <c r="O32" s="801"/>
    </row>
    <row r="33" spans="1:15" ht="15.75" x14ac:dyDescent="0.25">
      <c r="A33" s="655"/>
      <c r="B33" s="656" t="s">
        <v>556</v>
      </c>
      <c r="C33" s="655" t="s">
        <v>902</v>
      </c>
      <c r="I33" s="1215" t="s">
        <v>143</v>
      </c>
      <c r="J33" s="1215"/>
      <c r="K33" s="1215"/>
      <c r="L33" s="1206">
        <f>L168</f>
        <v>0</v>
      </c>
      <c r="M33" s="1207"/>
      <c r="N33" s="1208"/>
    </row>
    <row r="34" spans="1:15" s="106" customFormat="1" ht="7.5" customHeight="1" x14ac:dyDescent="0.15">
      <c r="O34" s="801"/>
    </row>
    <row r="35" spans="1:15" ht="15.75" x14ac:dyDescent="0.25">
      <c r="A35" s="655"/>
      <c r="B35" s="656" t="s">
        <v>765</v>
      </c>
      <c r="C35" s="655" t="s">
        <v>142</v>
      </c>
      <c r="K35" s="48" t="s">
        <v>144</v>
      </c>
      <c r="L35" s="1206">
        <f>IF(L31&gt;L33,L31-L33,L33-L31)</f>
        <v>0</v>
      </c>
      <c r="M35" s="1207"/>
      <c r="N35" s="1208"/>
    </row>
    <row r="36" spans="1:15" s="106" customFormat="1" ht="7.5" customHeight="1" x14ac:dyDescent="0.15">
      <c r="O36" s="801"/>
    </row>
    <row r="37" spans="1:15" ht="15.75" x14ac:dyDescent="0.25">
      <c r="A37" s="654">
        <v>3</v>
      </c>
      <c r="B37" s="652" t="s">
        <v>547</v>
      </c>
      <c r="C37" s="653" t="s">
        <v>145</v>
      </c>
      <c r="K37" s="48" t="s">
        <v>146</v>
      </c>
      <c r="L37" s="1206">
        <f>+L29+L31-L33</f>
        <v>0</v>
      </c>
      <c r="M37" s="1207"/>
      <c r="N37" s="1208"/>
    </row>
    <row r="38" spans="1:15" s="106" customFormat="1" ht="7.5" customHeight="1" x14ac:dyDescent="0.15">
      <c r="C38" s="1231" t="s">
        <v>1435</v>
      </c>
      <c r="D38" s="1231"/>
      <c r="E38" s="1231"/>
      <c r="F38" s="1231"/>
      <c r="G38" s="1231"/>
      <c r="H38" s="1231"/>
      <c r="I38" s="1231"/>
      <c r="J38" s="522"/>
      <c r="K38" s="617"/>
      <c r="O38" s="801"/>
    </row>
    <row r="39" spans="1:15" ht="15.75" x14ac:dyDescent="0.25">
      <c r="A39" s="655"/>
      <c r="B39" s="656" t="s">
        <v>1107</v>
      </c>
      <c r="C39" s="1" t="s">
        <v>1686</v>
      </c>
      <c r="K39" s="110"/>
      <c r="L39" s="1264"/>
      <c r="M39" s="1264"/>
      <c r="N39" s="1264"/>
    </row>
    <row r="40" spans="1:15" ht="15.75" customHeight="1" x14ac:dyDescent="0.2">
      <c r="C40" s="790" t="s">
        <v>1687</v>
      </c>
      <c r="F40" s="789"/>
      <c r="G40" s="50"/>
      <c r="J40" s="363" t="s">
        <v>608</v>
      </c>
      <c r="N40" s="791"/>
      <c r="O40" s="798" t="b">
        <f>Data!D33</f>
        <v>0</v>
      </c>
    </row>
    <row r="41" spans="1:15" ht="15.75" x14ac:dyDescent="0.25">
      <c r="A41" s="655"/>
      <c r="B41" s="656"/>
      <c r="C41" s="655" t="s">
        <v>1675</v>
      </c>
      <c r="D41" s="1" t="s">
        <v>1676</v>
      </c>
      <c r="I41" s="363"/>
      <c r="J41" s="363" t="s">
        <v>608</v>
      </c>
      <c r="K41" s="110" t="s">
        <v>1672</v>
      </c>
      <c r="L41" s="1206">
        <f>IF(ISNUMBER('Complete This Page'!J108),'Complete This Page'!J108,0)</f>
        <v>0</v>
      </c>
      <c r="M41" s="1207"/>
      <c r="N41" s="1208"/>
      <c r="O41" s="798" t="b">
        <f>OR(Data!D33:D37,Overflow!P60:P110,'Overflow (2)'!P66:P110,'Overflow (3)'!P66:P110)</f>
        <v>0</v>
      </c>
    </row>
    <row r="42" spans="1:15" s="106" customFormat="1" ht="7.5" customHeight="1" x14ac:dyDescent="0.15">
      <c r="D42" s="792" t="s">
        <v>1679</v>
      </c>
      <c r="E42" s="123"/>
      <c r="F42" s="123"/>
      <c r="G42" s="123"/>
      <c r="H42" s="123"/>
      <c r="I42" s="123"/>
      <c r="J42" s="753"/>
      <c r="O42" s="801"/>
    </row>
    <row r="43" spans="1:15" ht="15.75" x14ac:dyDescent="0.25">
      <c r="A43" s="655"/>
      <c r="B43" s="656"/>
      <c r="C43" s="655" t="s">
        <v>1677</v>
      </c>
      <c r="D43" s="1" t="s">
        <v>1681</v>
      </c>
      <c r="I43" s="363"/>
      <c r="J43" s="363" t="s">
        <v>608</v>
      </c>
      <c r="K43" s="110" t="s">
        <v>1673</v>
      </c>
      <c r="L43" s="1206">
        <f>IF(ISNUMBER('Complete This Page'!K108),'Complete This Page'!K108,'Complete This Page'!K110)</f>
        <v>0</v>
      </c>
      <c r="M43" s="1207"/>
      <c r="N43" s="1208"/>
    </row>
    <row r="44" spans="1:15" s="106" customFormat="1" ht="7.5" customHeight="1" x14ac:dyDescent="0.15">
      <c r="D44" s="792" t="s">
        <v>1680</v>
      </c>
      <c r="E44" s="792"/>
      <c r="F44" s="792"/>
      <c r="G44" s="792"/>
      <c r="H44" s="796">
        <f>IF('Complete This Page'!G11 &gt; 2017,'Complete This Page'!G11,"")</f>
        <v>2018</v>
      </c>
      <c r="J44" s="753"/>
      <c r="O44" s="801"/>
    </row>
    <row r="45" spans="1:15" ht="15.75" x14ac:dyDescent="0.25">
      <c r="A45" s="655"/>
      <c r="B45" s="656"/>
      <c r="C45" s="655" t="s">
        <v>1678</v>
      </c>
      <c r="D45" s="1" t="s">
        <v>1797</v>
      </c>
      <c r="I45" s="363"/>
      <c r="J45" s="363" t="s">
        <v>608</v>
      </c>
      <c r="K45" s="110" t="s">
        <v>1674</v>
      </c>
      <c r="L45" s="1265">
        <f>IF(Data!D33=FALSE,L37-L43,'Print NOL Worksheet'!K24)</f>
        <v>0</v>
      </c>
      <c r="M45" s="1266"/>
      <c r="N45" s="1267"/>
    </row>
    <row r="46" spans="1:15" s="106" customFormat="1" ht="7.5" customHeight="1" x14ac:dyDescent="0.15">
      <c r="D46" s="792"/>
      <c r="E46" s="792"/>
      <c r="F46" s="792"/>
      <c r="G46" s="792"/>
      <c r="H46" s="792"/>
      <c r="I46" s="792"/>
      <c r="J46" s="753"/>
      <c r="O46" s="801"/>
    </row>
    <row r="47" spans="1:15" ht="15.75" x14ac:dyDescent="0.25">
      <c r="A47" s="655"/>
      <c r="B47" s="656" t="s">
        <v>765</v>
      </c>
      <c r="C47" s="1" t="s">
        <v>994</v>
      </c>
      <c r="K47" s="110" t="s">
        <v>147</v>
      </c>
      <c r="L47" s="1206">
        <f>IF(ISNUMBER(F48)=TRUE,F48*IF(Data!D33=TRUE,L37,L45),L37)</f>
        <v>0</v>
      </c>
      <c r="M47" s="1207"/>
      <c r="N47" s="1208"/>
    </row>
    <row r="48" spans="1:15" ht="12" customHeight="1" x14ac:dyDescent="0.2">
      <c r="C48" s="50" t="s">
        <v>557</v>
      </c>
      <c r="F48" s="623">
        <f>IF(Data!B49=TRUE,1,IF(ISNUMBER(Data!C279)=TRUE,Data!C279,""))</f>
        <v>0</v>
      </c>
      <c r="G48" s="50" t="str">
        <f>IF(Data!D33=FALSE,"of Line 3B(iii)","of Line 3A")</f>
        <v>of Line 3B(iii)</v>
      </c>
      <c r="L48" s="7" t="str">
        <f>IF(Overflow!D66&gt;0,"",IF(Data!B49=TRUE,"",Data!C60))</f>
        <v/>
      </c>
    </row>
    <row r="49" spans="1:15" ht="15.75" x14ac:dyDescent="0.25">
      <c r="A49" s="655"/>
      <c r="B49" s="656" t="s">
        <v>1098</v>
      </c>
      <c r="C49" s="1" t="s">
        <v>1708</v>
      </c>
      <c r="I49" s="363"/>
      <c r="J49" s="363" t="s">
        <v>608</v>
      </c>
      <c r="K49" s="110" t="s">
        <v>1671</v>
      </c>
      <c r="L49" s="1206">
        <f>Data!E279</f>
        <v>0</v>
      </c>
      <c r="M49" s="1207"/>
      <c r="N49" s="1208"/>
    </row>
    <row r="50" spans="1:15" s="106" customFormat="1" ht="7.5" customHeight="1" x14ac:dyDescent="0.15">
      <c r="C50" s="1231" t="s">
        <v>1682</v>
      </c>
      <c r="D50" s="1231"/>
      <c r="E50" s="1231"/>
      <c r="F50" s="1231"/>
      <c r="G50" s="1231"/>
      <c r="H50" s="1231"/>
      <c r="I50" s="1231"/>
      <c r="J50" s="522"/>
      <c r="O50" s="801"/>
    </row>
    <row r="51" spans="1:15" ht="15.75" x14ac:dyDescent="0.25">
      <c r="A51" s="654">
        <v>4</v>
      </c>
      <c r="B51" s="568" t="s">
        <v>148</v>
      </c>
      <c r="I51" s="363"/>
      <c r="J51" s="363" t="s">
        <v>608</v>
      </c>
      <c r="K51" s="48">
        <v>4</v>
      </c>
      <c r="L51" s="1206">
        <f>IF(O40=TRUE,Data!K279,Data!T279)</f>
        <v>0</v>
      </c>
      <c r="M51" s="1207"/>
      <c r="N51" s="1208"/>
    </row>
    <row r="52" spans="1:15" s="106" customFormat="1" ht="7.5" customHeight="1" x14ac:dyDescent="0.15">
      <c r="B52" s="1231" t="s">
        <v>1709</v>
      </c>
      <c r="C52" s="1231"/>
      <c r="D52" s="1231"/>
      <c r="E52" s="1231"/>
      <c r="F52" s="1231"/>
      <c r="G52" s="1231"/>
      <c r="H52" s="1231"/>
      <c r="O52" s="801"/>
    </row>
    <row r="53" spans="1:15" ht="15.75" x14ac:dyDescent="0.25">
      <c r="A53" s="654">
        <v>5</v>
      </c>
      <c r="B53" s="568" t="s">
        <v>901</v>
      </c>
      <c r="I53" s="363"/>
      <c r="J53" s="363" t="s">
        <v>608</v>
      </c>
      <c r="K53" s="48">
        <v>5</v>
      </c>
      <c r="L53" s="1206">
        <f>SUM(L79:N87)</f>
        <v>0</v>
      </c>
      <c r="M53" s="1207"/>
      <c r="N53" s="1208"/>
    </row>
    <row r="54" spans="1:15" s="106" customFormat="1" ht="7.5" customHeight="1" x14ac:dyDescent="0.15">
      <c r="B54" s="1234" t="s">
        <v>609</v>
      </c>
      <c r="C54" s="1234"/>
      <c r="D54" s="1234"/>
      <c r="E54" s="1234"/>
      <c r="F54" s="1234"/>
      <c r="G54" s="1234"/>
      <c r="H54" s="1234"/>
      <c r="I54" s="1234"/>
      <c r="J54" s="522"/>
      <c r="O54" s="801"/>
    </row>
    <row r="55" spans="1:15" ht="15.75" x14ac:dyDescent="0.25">
      <c r="A55" s="654">
        <v>6</v>
      </c>
      <c r="B55" s="652" t="s">
        <v>547</v>
      </c>
      <c r="C55" s="653" t="str">
        <f>CONCATENATE("ESTIMATED MUNICIPAL TAX PAYMENTS FOR THE YEAR ",E8)</f>
        <v>ESTIMATED MUNICIPAL TAX PAYMENTS FOR THE YEAR 2018</v>
      </c>
      <c r="K55" s="48" t="s">
        <v>555</v>
      </c>
      <c r="L55" s="1206">
        <f>'Complete This Page'!I19</f>
        <v>0</v>
      </c>
      <c r="M55" s="1207"/>
      <c r="N55" s="1208"/>
    </row>
    <row r="56" spans="1:15" s="106" customFormat="1" ht="7.5" customHeight="1" x14ac:dyDescent="0.15">
      <c r="O56" s="801"/>
    </row>
    <row r="57" spans="1:15" ht="15.75" x14ac:dyDescent="0.25">
      <c r="A57" s="655"/>
      <c r="B57" s="656" t="s">
        <v>556</v>
      </c>
      <c r="C57" s="655" t="s">
        <v>149</v>
      </c>
      <c r="K57" s="48" t="s">
        <v>150</v>
      </c>
      <c r="L57" s="1206">
        <f>'Complete This Page'!I16</f>
        <v>0</v>
      </c>
      <c r="M57" s="1207"/>
      <c r="N57" s="1208"/>
    </row>
    <row r="58" spans="1:15" s="106" customFormat="1" ht="7.5" customHeight="1" x14ac:dyDescent="0.15">
      <c r="O58" s="801"/>
    </row>
    <row r="59" spans="1:15" ht="15.75" x14ac:dyDescent="0.25">
      <c r="A59" s="655"/>
      <c r="B59" s="656" t="s">
        <v>765</v>
      </c>
      <c r="C59" s="655" t="s">
        <v>610</v>
      </c>
      <c r="I59" s="363"/>
      <c r="J59" s="363" t="s">
        <v>608</v>
      </c>
      <c r="K59" s="48" t="s">
        <v>151</v>
      </c>
      <c r="L59" s="1206">
        <f>+L55+L57</f>
        <v>0</v>
      </c>
      <c r="M59" s="1207"/>
      <c r="N59" s="1208"/>
    </row>
    <row r="60" spans="1:15" s="106" customFormat="1" ht="7.5" customHeight="1" x14ac:dyDescent="0.15">
      <c r="O60" s="801"/>
    </row>
    <row r="61" spans="1:15" ht="15.75" x14ac:dyDescent="0.25">
      <c r="A61" s="654">
        <v>7</v>
      </c>
      <c r="B61" s="652" t="s">
        <v>547</v>
      </c>
      <c r="C61" s="568" t="s">
        <v>900</v>
      </c>
      <c r="I61" s="363"/>
      <c r="J61" s="363" t="s">
        <v>608</v>
      </c>
      <c r="K61" s="48" t="s">
        <v>155</v>
      </c>
      <c r="L61" s="1206">
        <f>IF(L53&lt;L59,0,L53-L59)</f>
        <v>0</v>
      </c>
      <c r="M61" s="1207"/>
      <c r="N61" s="1208"/>
    </row>
    <row r="62" spans="1:15" s="106" customFormat="1" ht="7.5" customHeight="1" x14ac:dyDescent="0.15">
      <c r="C62" s="1277" t="s">
        <v>134</v>
      </c>
      <c r="D62" s="1277"/>
      <c r="E62" s="1277"/>
      <c r="F62" s="1277"/>
      <c r="G62" s="1277"/>
      <c r="H62" s="1277"/>
      <c r="I62" s="1277"/>
      <c r="J62" s="1277"/>
      <c r="K62" s="1277"/>
      <c r="O62" s="801"/>
    </row>
    <row r="63" spans="1:15" s="1" customFormat="1" ht="11.25" x14ac:dyDescent="0.2">
      <c r="C63" s="68" t="s">
        <v>136</v>
      </c>
      <c r="D63" s="622"/>
      <c r="E63" s="622"/>
      <c r="F63" s="622"/>
      <c r="G63" s="622"/>
      <c r="H63" s="622"/>
      <c r="I63" s="622"/>
      <c r="J63" s="622"/>
      <c r="K63" s="622"/>
      <c r="O63" s="799"/>
    </row>
    <row r="64" spans="1:15" ht="15.75" x14ac:dyDescent="0.25">
      <c r="A64" s="655"/>
      <c r="B64" s="656" t="s">
        <v>556</v>
      </c>
      <c r="C64" s="657" t="s">
        <v>152</v>
      </c>
      <c r="K64" s="48" t="s">
        <v>156</v>
      </c>
      <c r="L64" s="1206">
        <f>IF(L59&gt;L53,L59-L53,0)</f>
        <v>0</v>
      </c>
      <c r="M64" s="1207"/>
      <c r="N64" s="1208"/>
    </row>
    <row r="65" spans="1:15" ht="7.5" customHeight="1" x14ac:dyDescent="0.2">
      <c r="C65" s="1234" t="s">
        <v>153</v>
      </c>
      <c r="D65" s="1234"/>
      <c r="E65" s="1234"/>
      <c r="F65" s="1234"/>
      <c r="G65" s="1234"/>
      <c r="H65" s="1234"/>
      <c r="I65" s="1234"/>
      <c r="J65" s="1234"/>
      <c r="K65" s="1234"/>
    </row>
    <row r="66" spans="1:15" ht="10.5" customHeight="1" x14ac:dyDescent="0.2">
      <c r="C66" s="1177" t="s">
        <v>138</v>
      </c>
      <c r="D66" s="1177"/>
      <c r="E66" s="51"/>
      <c r="F66" s="51"/>
      <c r="G66" s="51"/>
      <c r="H66" s="51"/>
      <c r="I66" s="51"/>
      <c r="J66" s="51"/>
      <c r="K66" s="51"/>
    </row>
    <row r="67" spans="1:15" ht="12.75" customHeight="1" x14ac:dyDescent="0.2">
      <c r="C67" s="1250" t="s">
        <v>157</v>
      </c>
      <c r="D67" s="1250"/>
      <c r="E67" s="1250"/>
      <c r="F67" s="1250"/>
      <c r="G67" s="1250"/>
      <c r="H67" s="1250"/>
      <c r="I67" s="1250"/>
      <c r="J67" s="516"/>
      <c r="K67" s="52"/>
      <c r="N67" s="53" t="s">
        <v>158</v>
      </c>
    </row>
    <row r="68" spans="1:15" ht="12" customHeight="1" x14ac:dyDescent="0.2">
      <c r="C68" s="1177" t="s">
        <v>137</v>
      </c>
      <c r="D68" s="1177"/>
      <c r="E68" s="51"/>
      <c r="F68" s="51"/>
      <c r="G68" s="51"/>
      <c r="H68" s="51"/>
      <c r="I68" s="51"/>
      <c r="J68" s="51"/>
      <c r="K68" s="51"/>
      <c r="N68" s="752">
        <v>1</v>
      </c>
    </row>
    <row r="69" spans="1:15" s="1" customFormat="1" ht="11.25" x14ac:dyDescent="0.2">
      <c r="N69" s="346" t="s">
        <v>1651</v>
      </c>
      <c r="O69" s="799"/>
    </row>
    <row r="70" spans="1:15" ht="9" customHeight="1" x14ac:dyDescent="0.2">
      <c r="A70" s="27"/>
      <c r="B70" s="27"/>
      <c r="C70" s="27"/>
      <c r="D70" s="27"/>
      <c r="E70" s="27"/>
      <c r="F70" s="1235" t="s">
        <v>602</v>
      </c>
      <c r="G70" s="1236"/>
      <c r="H70" s="1237"/>
      <c r="I70" s="27"/>
      <c r="J70" s="1204" t="str">
        <f>A22</f>
        <v>Error: No Company Name Entered</v>
      </c>
      <c r="K70" s="1204"/>
      <c r="L70" s="1204"/>
      <c r="M70" s="1204"/>
      <c r="N70" s="1204"/>
    </row>
    <row r="71" spans="1:15" ht="9" customHeight="1" x14ac:dyDescent="0.2">
      <c r="A71" s="27"/>
      <c r="B71" s="27"/>
      <c r="C71" s="27"/>
      <c r="D71" s="27"/>
      <c r="E71" s="27"/>
      <c r="F71" s="1238"/>
      <c r="G71" s="1239"/>
      <c r="H71" s="1240"/>
      <c r="I71" s="27"/>
      <c r="J71" s="27"/>
      <c r="K71" s="27"/>
      <c r="L71" s="357"/>
      <c r="M71" s="1245" t="str">
        <f>I22</f>
        <v>Error: No EIN Entered</v>
      </c>
      <c r="N71" s="1246"/>
    </row>
    <row r="72" spans="1:15" s="7" customFormat="1" ht="8.25" x14ac:dyDescent="0.15">
      <c r="A72" s="54"/>
      <c r="B72" s="54"/>
      <c r="C72" s="54"/>
      <c r="D72" s="54"/>
      <c r="E72" s="54"/>
      <c r="F72" s="358"/>
      <c r="G72" s="358"/>
      <c r="H72" s="358"/>
      <c r="I72" s="54"/>
      <c r="J72" s="54"/>
      <c r="K72" s="54"/>
      <c r="L72" s="359"/>
      <c r="M72" s="359"/>
      <c r="O72" s="800"/>
    </row>
    <row r="73" spans="1:15" x14ac:dyDescent="0.2">
      <c r="A73" s="1256" t="s">
        <v>995</v>
      </c>
      <c r="B73" s="1256"/>
      <c r="C73" s="1256"/>
      <c r="D73" s="1256"/>
      <c r="E73" s="1256"/>
      <c r="F73" s="1256"/>
      <c r="G73" s="1256"/>
      <c r="H73" s="1256"/>
      <c r="I73" s="1256"/>
      <c r="J73" s="1256"/>
      <c r="K73" s="1256"/>
      <c r="L73" s="1256"/>
      <c r="M73" s="1256"/>
      <c r="N73" s="1256"/>
    </row>
    <row r="74" spans="1:15" x14ac:dyDescent="0.2">
      <c r="A74" s="1276" t="s">
        <v>603</v>
      </c>
      <c r="B74" s="1276"/>
      <c r="C74" s="1276"/>
      <c r="D74" s="1276"/>
      <c r="E74" s="1276"/>
      <c r="F74" s="1276"/>
      <c r="G74" s="1276"/>
      <c r="H74" s="1276"/>
      <c r="I74" s="1276"/>
      <c r="J74" s="1276"/>
      <c r="K74" s="1276"/>
      <c r="L74" s="1276"/>
      <c r="M74" s="1276"/>
      <c r="N74" s="1276"/>
    </row>
    <row r="75" spans="1:15" s="1" customFormat="1" ht="11.25" x14ac:dyDescent="0.2">
      <c r="A75" s="1262" t="s">
        <v>558</v>
      </c>
      <c r="B75" s="1262"/>
      <c r="C75" s="1262"/>
      <c r="D75" s="1262"/>
      <c r="E75" s="1262"/>
      <c r="F75" s="1262"/>
      <c r="G75" s="1262"/>
      <c r="H75" s="1262"/>
      <c r="I75" s="1262"/>
      <c r="J75" s="1262"/>
      <c r="K75" s="1262"/>
      <c r="L75" s="1262"/>
      <c r="M75" s="1262"/>
      <c r="N75" s="1262"/>
      <c r="O75" s="799"/>
    </row>
    <row r="76" spans="1:15" s="106" customFormat="1" ht="9" x14ac:dyDescent="0.15">
      <c r="A76" s="636"/>
      <c r="B76" s="636"/>
      <c r="C76" s="636"/>
      <c r="D76" s="636" t="s">
        <v>1589</v>
      </c>
      <c r="E76" s="636"/>
      <c r="F76" s="636"/>
      <c r="G76" s="636"/>
      <c r="H76" s="636"/>
      <c r="I76" s="636"/>
      <c r="J76" s="636"/>
      <c r="K76" s="636"/>
      <c r="L76" s="636"/>
      <c r="M76" s="636"/>
      <c r="N76" s="636"/>
      <c r="O76" s="801"/>
    </row>
    <row r="77" spans="1:15" x14ac:dyDescent="0.2">
      <c r="A77" s="120" t="s">
        <v>559</v>
      </c>
      <c r="B77" s="120"/>
      <c r="C77" s="120"/>
      <c r="D77" s="120"/>
      <c r="E77" s="120"/>
      <c r="F77" s="1263" t="s">
        <v>560</v>
      </c>
      <c r="G77" s="1263"/>
      <c r="H77" s="120"/>
      <c r="I77" s="1263" t="s">
        <v>561</v>
      </c>
      <c r="J77" s="1263"/>
      <c r="K77" s="120"/>
      <c r="L77" s="1263" t="s">
        <v>562</v>
      </c>
      <c r="M77" s="1263"/>
      <c r="N77" s="1263"/>
    </row>
    <row r="78" spans="1:15" s="106" customFormat="1" ht="9" x14ac:dyDescent="0.15">
      <c r="A78" s="636"/>
      <c r="B78" s="636"/>
      <c r="C78" s="636"/>
      <c r="D78" s="636"/>
      <c r="E78" s="636"/>
      <c r="F78" s="636"/>
      <c r="G78" s="636"/>
      <c r="H78" s="636"/>
      <c r="I78" s="636"/>
      <c r="J78" s="636"/>
      <c r="K78" s="636"/>
      <c r="L78" s="636"/>
      <c r="M78" s="636"/>
      <c r="N78" s="636"/>
      <c r="O78" s="801"/>
    </row>
    <row r="79" spans="1:15" ht="15.75" x14ac:dyDescent="0.25">
      <c r="A79" s="1227" t="str">
        <f>IF(Overflow!D66&gt;0,"See Schedule",IF(Data!$A$40&lt;&gt;0,Data!$A$40,""))</f>
        <v/>
      </c>
      <c r="B79" s="1228"/>
      <c r="C79" s="1228"/>
      <c r="D79" s="1228"/>
      <c r="E79" s="1229"/>
      <c r="F79" s="1272">
        <f>IF(O40=TRUE,Data!K273,Data!T273)</f>
        <v>0</v>
      </c>
      <c r="G79" s="1273"/>
      <c r="H79" s="361"/>
      <c r="I79" s="1274">
        <f>Data!C262</f>
        <v>0</v>
      </c>
      <c r="J79" s="1275"/>
      <c r="K79" s="361"/>
      <c r="L79" s="1206">
        <f>IF(A79="See Schedule",IF(Data!D33=TRUE,Data!M279,Data!V279),ROUND(F79*I79,0))</f>
        <v>0</v>
      </c>
      <c r="M79" s="1207"/>
      <c r="N79" s="1208"/>
      <c r="O79" s="802"/>
    </row>
    <row r="80" spans="1:15" s="106" customFormat="1" ht="9" x14ac:dyDescent="0.15">
      <c r="A80" s="636"/>
      <c r="B80" s="636"/>
      <c r="C80" s="636"/>
      <c r="D80" s="636"/>
      <c r="E80" s="636"/>
      <c r="F80" s="640"/>
      <c r="G80" s="640"/>
      <c r="H80" s="636"/>
      <c r="I80" s="636"/>
      <c r="J80" s="636"/>
      <c r="K80" s="636"/>
      <c r="L80" s="636"/>
      <c r="M80" s="636"/>
      <c r="N80" s="636"/>
      <c r="O80" s="803"/>
    </row>
    <row r="81" spans="1:15" ht="15.75" x14ac:dyDescent="0.25">
      <c r="A81" s="1227" t="str">
        <f>IF(Data!$A$41&lt;&gt;0,Data!$A$41,"")</f>
        <v/>
      </c>
      <c r="B81" s="1228"/>
      <c r="C81" s="1228"/>
      <c r="D81" s="1228"/>
      <c r="E81" s="1229"/>
      <c r="F81" s="1272">
        <f>IF(O40=TRUE,Data!K274,Data!T274)</f>
        <v>0</v>
      </c>
      <c r="G81" s="1273"/>
      <c r="H81" s="16"/>
      <c r="I81" s="1232">
        <f>Data!C263</f>
        <v>0</v>
      </c>
      <c r="J81" s="1233"/>
      <c r="K81" s="16"/>
      <c r="L81" s="1206">
        <f>IF(I81=0,0,IF(AND(F81&gt;0,OR(F81*I81&gt;10,$E$8&lt;2016)),ROUND(F81*I81,0),0))</f>
        <v>0</v>
      </c>
      <c r="M81" s="1207"/>
      <c r="N81" s="1208"/>
      <c r="O81" s="802"/>
    </row>
    <row r="82" spans="1:15" s="106" customFormat="1" ht="9" x14ac:dyDescent="0.15">
      <c r="A82" s="636"/>
      <c r="B82" s="636"/>
      <c r="C82" s="636"/>
      <c r="D82" s="636"/>
      <c r="E82" s="636"/>
      <c r="F82" s="641"/>
      <c r="G82" s="641"/>
      <c r="H82" s="636"/>
      <c r="I82" s="636"/>
      <c r="J82" s="636"/>
      <c r="K82" s="636"/>
      <c r="L82" s="636"/>
      <c r="M82" s="636"/>
      <c r="N82" s="636"/>
      <c r="O82" s="801"/>
    </row>
    <row r="83" spans="1:15" ht="15.75" x14ac:dyDescent="0.25">
      <c r="A83" s="1227" t="str">
        <f>IF(Data!$A$42&lt;&gt;0,Data!$A$42,"")</f>
        <v/>
      </c>
      <c r="B83" s="1228"/>
      <c r="C83" s="1228"/>
      <c r="D83" s="1228"/>
      <c r="E83" s="1229"/>
      <c r="F83" s="1272">
        <f>IF(O40=TRUE,Data!K275,Data!T275)</f>
        <v>0</v>
      </c>
      <c r="G83" s="1273"/>
      <c r="H83" s="16"/>
      <c r="I83" s="1232">
        <f>Data!C264</f>
        <v>0</v>
      </c>
      <c r="J83" s="1233"/>
      <c r="K83" s="16"/>
      <c r="L83" s="1206">
        <f>IF(I83=0,0,IF(AND(F83&gt;0,OR(F83*I83&gt;10, $E$8&lt;2016)),ROUND(F83*I83,0),0))</f>
        <v>0</v>
      </c>
      <c r="M83" s="1207"/>
      <c r="N83" s="1208"/>
    </row>
    <row r="84" spans="1:15" s="106" customFormat="1" ht="9" x14ac:dyDescent="0.15">
      <c r="A84" s="636"/>
      <c r="B84" s="636"/>
      <c r="C84" s="636"/>
      <c r="D84" s="636"/>
      <c r="E84" s="636"/>
      <c r="F84" s="641"/>
      <c r="G84" s="641"/>
      <c r="H84" s="636"/>
      <c r="I84" s="636"/>
      <c r="J84" s="636"/>
      <c r="K84" s="636"/>
      <c r="L84" s="636"/>
      <c r="M84" s="636"/>
      <c r="N84" s="636"/>
      <c r="O84" s="801"/>
    </row>
    <row r="85" spans="1:15" ht="15.75" x14ac:dyDescent="0.25">
      <c r="A85" s="1227" t="str">
        <f>IF(Data!$A$43&lt;&gt;0,Data!$A$43,"")</f>
        <v/>
      </c>
      <c r="B85" s="1228"/>
      <c r="C85" s="1228"/>
      <c r="D85" s="1228"/>
      <c r="E85" s="1229"/>
      <c r="F85" s="1272">
        <f>IF(O40=TRUE,Data!K276,Data!T276)</f>
        <v>0</v>
      </c>
      <c r="G85" s="1273"/>
      <c r="H85" s="16"/>
      <c r="I85" s="1232">
        <f>Data!C265</f>
        <v>0</v>
      </c>
      <c r="J85" s="1233"/>
      <c r="K85" s="16"/>
      <c r="L85" s="1206">
        <f>IF(I85=0,0,IF(AND(F85&gt;0,OR(F85*I85&gt;10, $E$8&lt;2016)),ROUND(F85*I85,0),0))</f>
        <v>0</v>
      </c>
      <c r="M85" s="1207"/>
      <c r="N85" s="1208"/>
    </row>
    <row r="86" spans="1:15" s="106" customFormat="1" ht="9" x14ac:dyDescent="0.15">
      <c r="A86" s="636"/>
      <c r="B86" s="636"/>
      <c r="C86" s="636"/>
      <c r="D86" s="636"/>
      <c r="E86" s="636"/>
      <c r="F86" s="641"/>
      <c r="G86" s="641"/>
      <c r="H86" s="636"/>
      <c r="I86" s="636"/>
      <c r="J86" s="636"/>
      <c r="K86" s="636"/>
      <c r="L86" s="636"/>
      <c r="M86" s="636"/>
      <c r="N86" s="636"/>
      <c r="O86" s="801"/>
    </row>
    <row r="87" spans="1:15" ht="15.75" x14ac:dyDescent="0.25">
      <c r="A87" s="1227" t="str">
        <f>IF(Data!$A$44&lt;&gt;0,Data!$A$44,"")</f>
        <v/>
      </c>
      <c r="B87" s="1228"/>
      <c r="C87" s="1228"/>
      <c r="D87" s="1228"/>
      <c r="E87" s="1229"/>
      <c r="F87" s="1272">
        <f>IF(O40=TRUE,Data!K277,Data!T277)</f>
        <v>0</v>
      </c>
      <c r="G87" s="1273"/>
      <c r="H87" s="16"/>
      <c r="I87" s="1232">
        <f>Data!C266</f>
        <v>0</v>
      </c>
      <c r="J87" s="1233"/>
      <c r="K87" s="16"/>
      <c r="L87" s="1206">
        <f>IF(I87=0,0,IF(AND(F87&gt;0, OR(F87*I87&gt;10, $E$8&lt;2016)),ROUND(F87*I87,0),0))</f>
        <v>0</v>
      </c>
      <c r="M87" s="1207"/>
      <c r="N87" s="1208"/>
    </row>
    <row r="88" spans="1:15" s="1" customFormat="1" ht="11.25" x14ac:dyDescent="0.2">
      <c r="O88" s="799"/>
    </row>
    <row r="89" spans="1:15" s="10" customFormat="1" x14ac:dyDescent="0.2">
      <c r="A89" s="1256" t="s">
        <v>604</v>
      </c>
      <c r="B89" s="1256"/>
      <c r="C89" s="1256"/>
      <c r="D89" s="1256"/>
      <c r="E89" s="1256"/>
      <c r="F89" s="1256"/>
      <c r="G89" s="1256"/>
      <c r="H89" s="1256"/>
      <c r="I89" s="1256"/>
      <c r="J89" s="1256"/>
      <c r="K89" s="1256"/>
      <c r="L89" s="1256"/>
      <c r="M89" s="1256"/>
      <c r="N89" s="1256"/>
      <c r="O89" s="799"/>
    </row>
    <row r="90" spans="1:15" s="7" customFormat="1" ht="8.25" x14ac:dyDescent="0.15">
      <c r="A90" s="362"/>
      <c r="B90" s="362"/>
      <c r="C90" s="362"/>
      <c r="D90" s="362"/>
      <c r="E90" s="362"/>
      <c r="F90" s="362"/>
      <c r="G90" s="362"/>
      <c r="H90" s="362"/>
      <c r="I90" s="362"/>
      <c r="J90" s="362"/>
      <c r="K90" s="362"/>
      <c r="L90" s="362"/>
      <c r="M90" s="362"/>
      <c r="N90" s="362"/>
      <c r="O90" s="800"/>
    </row>
    <row r="91" spans="1:15" x14ac:dyDescent="0.2">
      <c r="A91" s="374" t="s">
        <v>605</v>
      </c>
      <c r="B91" s="16"/>
      <c r="C91" s="16"/>
      <c r="D91" s="16"/>
      <c r="E91" s="16"/>
      <c r="F91" s="16"/>
      <c r="G91" s="16"/>
      <c r="H91" s="16"/>
      <c r="I91" s="16"/>
      <c r="J91" s="16"/>
      <c r="K91" s="16"/>
      <c r="L91" s="16"/>
      <c r="M91" s="16"/>
      <c r="N91" s="16"/>
    </row>
    <row r="92" spans="1:15" s="626" customFormat="1" ht="9" x14ac:dyDescent="0.15">
      <c r="A92" s="637"/>
      <c r="B92" s="638"/>
      <c r="C92" s="638"/>
      <c r="D92" s="638"/>
      <c r="E92" s="638"/>
      <c r="F92" s="638"/>
      <c r="G92" s="638"/>
      <c r="H92" s="638"/>
      <c r="I92" s="638"/>
      <c r="J92" s="638"/>
      <c r="K92" s="638"/>
      <c r="L92" s="638"/>
      <c r="M92" s="638"/>
      <c r="N92" s="638"/>
      <c r="O92" s="801"/>
    </row>
    <row r="93" spans="1:15" x14ac:dyDescent="0.2">
      <c r="A93" s="120" t="s">
        <v>559</v>
      </c>
      <c r="B93" s="120"/>
      <c r="C93" s="120"/>
      <c r="D93" s="120"/>
      <c r="E93" s="120"/>
      <c r="F93" s="1263" t="s">
        <v>560</v>
      </c>
      <c r="G93" s="1263"/>
      <c r="H93" s="120"/>
      <c r="I93" s="1263" t="s">
        <v>561</v>
      </c>
      <c r="J93" s="1263"/>
      <c r="K93" s="120"/>
      <c r="L93" s="1263" t="s">
        <v>562</v>
      </c>
      <c r="M93" s="1263"/>
      <c r="N93" s="1263"/>
    </row>
    <row r="94" spans="1:15" s="106" customFormat="1" ht="9" x14ac:dyDescent="0.15">
      <c r="A94" s="636"/>
      <c r="B94" s="636"/>
      <c r="C94" s="636"/>
      <c r="D94" s="636"/>
      <c r="E94" s="636"/>
      <c r="F94" s="636"/>
      <c r="G94" s="636"/>
      <c r="H94" s="636"/>
      <c r="I94" s="636"/>
      <c r="J94" s="636"/>
      <c r="K94" s="636"/>
      <c r="L94" s="636"/>
      <c r="M94" s="636"/>
      <c r="N94" s="636"/>
      <c r="O94" s="801"/>
    </row>
    <row r="95" spans="1:15" ht="15.75" x14ac:dyDescent="0.25">
      <c r="A95" s="1227" t="str">
        <f>IF(Data!$A$40&lt;&gt;0,Data!$A$40,"")</f>
        <v/>
      </c>
      <c r="B95" s="1228"/>
      <c r="C95" s="1228"/>
      <c r="D95" s="1228"/>
      <c r="E95" s="1229"/>
      <c r="F95" s="1270">
        <f>IF(I95=0,0,ROUND(Data!E78/'Print Return'!I95,0))</f>
        <v>0</v>
      </c>
      <c r="G95" s="1271"/>
      <c r="H95" s="361"/>
      <c r="I95" s="1232">
        <f>LOOKUP(Data!$B$33,Cities!$A$3:$A$356,Cities!$E$3:$E$356)</f>
        <v>0</v>
      </c>
      <c r="J95" s="1233"/>
      <c r="K95" s="361"/>
      <c r="L95" s="1206">
        <f>IF(AND(F95&gt;0, F95*I95&gt;200),ROUND(F95*I95,0),0)</f>
        <v>0</v>
      </c>
      <c r="M95" s="1207"/>
      <c r="N95" s="1208"/>
    </row>
    <row r="96" spans="1:15" s="106" customFormat="1" ht="9" x14ac:dyDescent="0.15">
      <c r="A96" s="636"/>
      <c r="B96" s="636"/>
      <c r="C96" s="636"/>
      <c r="D96" s="636"/>
      <c r="E96" s="636"/>
      <c r="F96" s="636"/>
      <c r="G96" s="636"/>
      <c r="H96" s="636"/>
      <c r="I96" s="636"/>
      <c r="J96" s="636"/>
      <c r="K96" s="636"/>
      <c r="L96" s="636"/>
      <c r="M96" s="636"/>
      <c r="N96" s="636"/>
      <c r="O96" s="801"/>
    </row>
    <row r="97" spans="1:15" ht="15.75" x14ac:dyDescent="0.25">
      <c r="A97" s="1227" t="str">
        <f>IF(Data!$A$41&lt;&gt;0,Data!$A$41,"")</f>
        <v/>
      </c>
      <c r="B97" s="1228"/>
      <c r="C97" s="1228"/>
      <c r="D97" s="1228"/>
      <c r="E97" s="1229"/>
      <c r="F97" s="1270">
        <f>IF(I97=0,0,ROUND(Data!E79/'Print Return'!I97,0))</f>
        <v>0</v>
      </c>
      <c r="G97" s="1271"/>
      <c r="H97" s="16"/>
      <c r="I97" s="1232">
        <f>LOOKUP(Data!$B$34,Cities!$A$3:$A$356,Cities!$E$3:$E$356)</f>
        <v>0</v>
      </c>
      <c r="J97" s="1233"/>
      <c r="K97" s="16"/>
      <c r="L97" s="1206">
        <f>IF(AND(F97&gt;0, F97*I97&gt; 200),ROUND(F97*I97,0),0)</f>
        <v>0</v>
      </c>
      <c r="M97" s="1207"/>
      <c r="N97" s="1208"/>
    </row>
    <row r="98" spans="1:15" s="106" customFormat="1" ht="9" x14ac:dyDescent="0.15">
      <c r="A98" s="636"/>
      <c r="B98" s="636"/>
      <c r="C98" s="636"/>
      <c r="D98" s="636"/>
      <c r="E98" s="636"/>
      <c r="F98" s="636"/>
      <c r="G98" s="636"/>
      <c r="H98" s="636"/>
      <c r="I98" s="636"/>
      <c r="J98" s="636"/>
      <c r="K98" s="636"/>
      <c r="L98" s="636"/>
      <c r="M98" s="636"/>
      <c r="N98" s="636"/>
      <c r="O98" s="801"/>
    </row>
    <row r="99" spans="1:15" ht="15.75" x14ac:dyDescent="0.25">
      <c r="A99" s="1227" t="str">
        <f>IF(Data!$A$42&lt;&gt;0,Data!$A$42,"")</f>
        <v/>
      </c>
      <c r="B99" s="1228"/>
      <c r="C99" s="1228"/>
      <c r="D99" s="1228"/>
      <c r="E99" s="1229"/>
      <c r="F99" s="1270">
        <f>IF(I99=0,0,ROUND(Data!E80/'Print Return'!I99,0))</f>
        <v>0</v>
      </c>
      <c r="G99" s="1271"/>
      <c r="H99" s="16"/>
      <c r="I99" s="1232">
        <f>LOOKUP(Data!$B$35,Cities!$A$3:$A$356,Cities!$E$3:$E$356)</f>
        <v>0</v>
      </c>
      <c r="J99" s="1233"/>
      <c r="K99" s="16"/>
      <c r="L99" s="1206">
        <f>IF(AND(F99&gt;0, F99*I99&gt;200),ROUND(F99*I99,0),0)</f>
        <v>0</v>
      </c>
      <c r="M99" s="1207"/>
      <c r="N99" s="1208"/>
    </row>
    <row r="100" spans="1:15" s="106" customFormat="1" ht="9" x14ac:dyDescent="0.15">
      <c r="A100" s="636"/>
      <c r="B100" s="636"/>
      <c r="C100" s="636"/>
      <c r="D100" s="636"/>
      <c r="E100" s="636"/>
      <c r="F100" s="636"/>
      <c r="G100" s="636"/>
      <c r="H100" s="636"/>
      <c r="I100" s="636"/>
      <c r="J100" s="636"/>
      <c r="K100" s="636"/>
      <c r="L100" s="636"/>
      <c r="M100" s="636"/>
      <c r="N100" s="636"/>
      <c r="O100" s="801"/>
    </row>
    <row r="101" spans="1:15" ht="15.75" x14ac:dyDescent="0.25">
      <c r="A101" s="1227" t="str">
        <f>IF(Data!$A$43&lt;&gt;0,Data!$A$43,"")</f>
        <v/>
      </c>
      <c r="B101" s="1228"/>
      <c r="C101" s="1228"/>
      <c r="D101" s="1228"/>
      <c r="E101" s="1229"/>
      <c r="F101" s="1270">
        <f>IF(I101=0,0,ROUND(Data!E81/'Print Return'!I101,0))</f>
        <v>0</v>
      </c>
      <c r="G101" s="1271"/>
      <c r="H101" s="16"/>
      <c r="I101" s="1232">
        <f>LOOKUP(Data!$B$36,Cities!$A$3:$A$356,Cities!$E$3:$E$356)</f>
        <v>0</v>
      </c>
      <c r="J101" s="1233"/>
      <c r="K101" s="16"/>
      <c r="L101" s="1206">
        <f>IF(AND(F101&gt;0, F101*I101&gt;200),ROUND(F101*I101,0),0)</f>
        <v>0</v>
      </c>
      <c r="M101" s="1207"/>
      <c r="N101" s="1208"/>
    </row>
    <row r="102" spans="1:15" s="106" customFormat="1" ht="9" x14ac:dyDescent="0.15">
      <c r="A102" s="636"/>
      <c r="B102" s="636"/>
      <c r="C102" s="636"/>
      <c r="D102" s="636"/>
      <c r="E102" s="636"/>
      <c r="F102" s="636"/>
      <c r="G102" s="636"/>
      <c r="H102" s="636"/>
      <c r="I102" s="636"/>
      <c r="J102" s="636"/>
      <c r="K102" s="636"/>
      <c r="L102" s="636"/>
      <c r="M102" s="636"/>
      <c r="N102" s="636"/>
      <c r="O102" s="801"/>
    </row>
    <row r="103" spans="1:15" ht="15.75" x14ac:dyDescent="0.25">
      <c r="A103" s="1227" t="str">
        <f>IF(Data!$A$44&lt;&gt;0,Data!$A$44,"")</f>
        <v/>
      </c>
      <c r="B103" s="1228"/>
      <c r="C103" s="1228"/>
      <c r="D103" s="1228"/>
      <c r="E103" s="1229"/>
      <c r="F103" s="1270">
        <f>IF(I103=0,0,ROUND(Data!E82/'Print Return'!I103,0))</f>
        <v>0</v>
      </c>
      <c r="G103" s="1271"/>
      <c r="H103" s="16"/>
      <c r="I103" s="1232">
        <f>LOOKUP(Data!$B$37,Cities!$A$3:$A$356,Cities!$E$3:$E$356)</f>
        <v>0</v>
      </c>
      <c r="J103" s="1233"/>
      <c r="K103" s="16"/>
      <c r="L103" s="1206">
        <f>IF(AND(F103&gt;0, F103*I103&gt;200),ROUND(F103*I103,0),0)</f>
        <v>0</v>
      </c>
      <c r="M103" s="1207"/>
      <c r="N103" s="1208"/>
    </row>
    <row r="104" spans="1:15" s="106" customFormat="1" ht="9" x14ac:dyDescent="0.15">
      <c r="O104" s="801"/>
    </row>
    <row r="105" spans="1:15" ht="15.75" x14ac:dyDescent="0.25">
      <c r="B105" s="654">
        <v>8</v>
      </c>
      <c r="C105" s="652" t="s">
        <v>547</v>
      </c>
      <c r="D105" s="653" t="s">
        <v>606</v>
      </c>
      <c r="I105" s="363"/>
      <c r="J105" s="363" t="s">
        <v>608</v>
      </c>
      <c r="K105" s="48" t="s">
        <v>1090</v>
      </c>
      <c r="L105" s="1206">
        <f>SUM(L95:N103)</f>
        <v>0</v>
      </c>
      <c r="M105" s="1207"/>
      <c r="N105" s="1208"/>
    </row>
    <row r="106" spans="1:15" s="106" customFormat="1" ht="9" x14ac:dyDescent="0.15">
      <c r="O106" s="801"/>
    </row>
    <row r="107" spans="1:15" ht="15.75" x14ac:dyDescent="0.25">
      <c r="C107" s="652" t="s">
        <v>556</v>
      </c>
      <c r="D107" s="653" t="s">
        <v>1093</v>
      </c>
      <c r="E107" s="653"/>
      <c r="F107" s="653"/>
      <c r="K107" s="48" t="s">
        <v>1091</v>
      </c>
      <c r="L107" s="1206">
        <f>IF(Data!B25=TRUE,L64,0)</f>
        <v>0</v>
      </c>
      <c r="M107" s="1207"/>
      <c r="N107" s="1208"/>
    </row>
    <row r="108" spans="1:15" s="106" customFormat="1" ht="9" x14ac:dyDescent="0.15">
      <c r="C108" s="639"/>
      <c r="O108" s="801"/>
    </row>
    <row r="109" spans="1:15" ht="15.75" x14ac:dyDescent="0.25">
      <c r="C109" s="652" t="s">
        <v>765</v>
      </c>
      <c r="D109" s="653" t="s">
        <v>1094</v>
      </c>
      <c r="K109" s="48" t="s">
        <v>1092</v>
      </c>
      <c r="L109" s="1206">
        <f>+L105-L107</f>
        <v>0</v>
      </c>
      <c r="M109" s="1207"/>
      <c r="N109" s="1208"/>
    </row>
    <row r="110" spans="1:15" s="106" customFormat="1" ht="9" x14ac:dyDescent="0.15">
      <c r="O110" s="801"/>
    </row>
    <row r="111" spans="1:15" ht="15.75" x14ac:dyDescent="0.25">
      <c r="C111" s="652" t="s">
        <v>1098</v>
      </c>
      <c r="D111" s="653" t="s">
        <v>1099</v>
      </c>
      <c r="E111" s="653"/>
      <c r="F111" s="653"/>
      <c r="G111" s="653"/>
      <c r="K111" s="48" t="s">
        <v>1097</v>
      </c>
      <c r="L111" s="1206">
        <f ca="1">IF('Complete This Page'!I173="",Data!C74,'Complete This Page'!I173)</f>
        <v>0</v>
      </c>
      <c r="M111" s="1207"/>
      <c r="N111" s="1208"/>
    </row>
    <row r="112" spans="1:15" ht="20.100000000000001" customHeight="1" x14ac:dyDescent="0.2">
      <c r="D112" s="1279" t="s">
        <v>607</v>
      </c>
      <c r="E112" s="1279"/>
      <c r="F112" s="1279"/>
      <c r="G112" s="1279"/>
      <c r="H112" s="1279"/>
      <c r="I112" s="1279"/>
      <c r="J112" s="524"/>
    </row>
    <row r="113" spans="1:15" ht="15.75" x14ac:dyDescent="0.25">
      <c r="B113" s="654">
        <v>9</v>
      </c>
      <c r="C113" s="568" t="s">
        <v>899</v>
      </c>
      <c r="D113" s="653"/>
      <c r="K113" s="48">
        <v>9</v>
      </c>
      <c r="L113" s="1206">
        <f ca="1">L61+L111</f>
        <v>0</v>
      </c>
      <c r="M113" s="1207"/>
      <c r="N113" s="1208"/>
    </row>
    <row r="114" spans="1:15" s="106" customFormat="1" ht="9" x14ac:dyDescent="0.15">
      <c r="O114" s="801"/>
    </row>
    <row r="115" spans="1:15" x14ac:dyDescent="0.2">
      <c r="A115" s="11" t="s">
        <v>892</v>
      </c>
    </row>
    <row r="116" spans="1:15" s="1" customFormat="1" ht="11.25" x14ac:dyDescent="0.2">
      <c r="A116" s="1" t="s">
        <v>905</v>
      </c>
      <c r="O116" s="799"/>
    </row>
    <row r="117" spans="1:15" s="107" customFormat="1" ht="6.75" x14ac:dyDescent="0.15">
      <c r="O117" s="804"/>
    </row>
    <row r="118" spans="1:15" ht="35.1" customHeight="1" x14ac:dyDescent="0.2">
      <c r="A118" s="971" t="s">
        <v>447</v>
      </c>
      <c r="B118" s="971"/>
      <c r="C118" s="971"/>
      <c r="D118" s="971"/>
      <c r="E118" s="971"/>
      <c r="F118" s="971"/>
      <c r="G118" s="971"/>
      <c r="H118" s="971"/>
      <c r="I118" s="971"/>
      <c r="J118" s="971"/>
      <c r="K118" s="971"/>
      <c r="L118" s="971"/>
      <c r="M118" s="971"/>
      <c r="N118" s="971"/>
    </row>
    <row r="119" spans="1:15" s="65" customFormat="1" ht="20.25" x14ac:dyDescent="0.3">
      <c r="A119" s="366"/>
      <c r="B119" s="366"/>
      <c r="C119" s="366"/>
      <c r="D119" s="366"/>
      <c r="E119" s="366"/>
      <c r="F119" s="366"/>
      <c r="G119" s="66"/>
      <c r="H119" s="366"/>
      <c r="I119" s="366"/>
      <c r="J119" s="366"/>
      <c r="K119" s="366"/>
      <c r="L119" s="366"/>
      <c r="M119" s="366"/>
      <c r="N119" s="366"/>
      <c r="O119" s="805"/>
    </row>
    <row r="120" spans="1:15" s="1" customFormat="1" ht="12.75" customHeight="1" x14ac:dyDescent="0.2">
      <c r="A120" s="1" t="s">
        <v>1100</v>
      </c>
      <c r="H120" s="1280" t="s">
        <v>1103</v>
      </c>
      <c r="I120" s="1280"/>
      <c r="J120" s="1280"/>
      <c r="O120" s="799"/>
    </row>
    <row r="121" spans="1:15" s="1" customFormat="1" ht="11.25" customHeight="1" x14ac:dyDescent="0.2">
      <c r="A121" s="61"/>
      <c r="B121" s="61"/>
      <c r="C121" s="61"/>
      <c r="D121" s="61"/>
      <c r="E121" s="61"/>
      <c r="F121" s="61"/>
      <c r="G121" s="61"/>
      <c r="H121" s="642"/>
      <c r="I121" s="642"/>
      <c r="J121" s="1269"/>
      <c r="K121" s="1269"/>
      <c r="L121" s="1269"/>
      <c r="M121" s="1269"/>
      <c r="N121" s="1269"/>
      <c r="O121" s="806"/>
    </row>
    <row r="122" spans="1:15" s="1" customFormat="1" ht="12.75" customHeight="1" x14ac:dyDescent="0.2">
      <c r="A122" s="61"/>
      <c r="B122" s="61"/>
      <c r="C122" s="61"/>
      <c r="D122" s="61"/>
      <c r="E122" s="61"/>
      <c r="F122" s="61"/>
      <c r="G122" s="61"/>
      <c r="H122" s="1286" t="str">
        <f>IF('Complete This Page'!G35="","",CONCATENATE('Complete This Page'!G35,", ",'Complete This Page'!G36))</f>
        <v/>
      </c>
      <c r="I122" s="1286"/>
      <c r="J122" s="1286"/>
      <c r="K122" s="1286"/>
      <c r="L122" s="1286"/>
      <c r="M122" s="1286"/>
      <c r="N122" s="1286"/>
      <c r="O122" s="806"/>
    </row>
    <row r="123" spans="1:15" s="1" customFormat="1" ht="12.75" customHeight="1" x14ac:dyDescent="0.2">
      <c r="A123" s="1278" t="s">
        <v>613</v>
      </c>
      <c r="B123" s="1278"/>
      <c r="C123" s="1278"/>
      <c r="D123" s="1278"/>
      <c r="E123" s="199"/>
      <c r="F123" s="199"/>
      <c r="G123" s="61"/>
      <c r="H123" s="1285" t="s">
        <v>896</v>
      </c>
      <c r="I123" s="1285"/>
      <c r="J123" s="1285"/>
      <c r="K123" s="1285"/>
      <c r="L123" s="1285"/>
      <c r="M123" s="1285"/>
      <c r="N123" s="1285"/>
      <c r="O123" s="807"/>
    </row>
    <row r="124" spans="1:15" s="65" customFormat="1" ht="20.25" x14ac:dyDescent="0.3">
      <c r="A124" s="367"/>
      <c r="B124" s="367"/>
      <c r="C124" s="367"/>
      <c r="D124" s="1287">
        <f>+'Complete This Page'!I26</f>
        <v>0</v>
      </c>
      <c r="E124" s="1287"/>
      <c r="F124" s="367"/>
      <c r="G124" s="561"/>
      <c r="H124" s="1251">
        <f>+'Complete This Page'!D36</f>
        <v>0</v>
      </c>
      <c r="I124" s="1251"/>
      <c r="J124" s="643"/>
      <c r="K124" s="1290" t="str">
        <f>IF('Complete This Page'!G34="","",'Complete This Page'!G34)</f>
        <v/>
      </c>
      <c r="L124" s="1290"/>
      <c r="M124" s="1290"/>
      <c r="N124" s="1290"/>
      <c r="O124" s="805"/>
    </row>
    <row r="125" spans="1:15" s="1" customFormat="1" ht="12.75" customHeight="1" x14ac:dyDescent="0.2">
      <c r="A125" s="1" t="s">
        <v>1101</v>
      </c>
      <c r="C125" s="61"/>
      <c r="D125" s="1262" t="s">
        <v>614</v>
      </c>
      <c r="E125" s="1262"/>
      <c r="F125" s="1" t="s">
        <v>1102</v>
      </c>
      <c r="H125" s="1252" t="s">
        <v>1104</v>
      </c>
      <c r="I125" s="1252"/>
      <c r="J125" s="644"/>
      <c r="K125" s="1" t="s">
        <v>897</v>
      </c>
      <c r="N125" s="644"/>
      <c r="O125" s="799"/>
    </row>
    <row r="126" spans="1:15" s="1" customFormat="1" ht="10.5" customHeight="1" x14ac:dyDescent="0.2">
      <c r="A126" s="1" t="s">
        <v>895</v>
      </c>
      <c r="C126" s="966"/>
      <c r="D126" s="967"/>
      <c r="E126" s="967"/>
      <c r="H126" s="968"/>
      <c r="I126" s="968"/>
      <c r="J126" s="644"/>
      <c r="N126" s="644"/>
      <c r="O126" s="799"/>
    </row>
    <row r="127" spans="1:15" ht="9.9499999999999993" customHeight="1" x14ac:dyDescent="0.2">
      <c r="A127" s="1195" t="s">
        <v>1638</v>
      </c>
      <c r="B127" s="1196"/>
      <c r="C127" s="1196"/>
      <c r="D127" s="1196"/>
      <c r="E127" s="1197"/>
      <c r="F127" s="1294" t="s">
        <v>1554</v>
      </c>
      <c r="G127" s="1295"/>
      <c r="H127" s="1296"/>
      <c r="I127" s="1195" t="s">
        <v>1800</v>
      </c>
      <c r="J127" s="1196"/>
      <c r="K127" s="1196"/>
      <c r="L127" s="1196"/>
      <c r="M127" s="1197"/>
      <c r="N127" s="1253" t="s">
        <v>898</v>
      </c>
    </row>
    <row r="128" spans="1:15" s="1" customFormat="1" ht="9.9499999999999993" customHeight="1" x14ac:dyDescent="0.2">
      <c r="A128" s="1198" t="s">
        <v>879</v>
      </c>
      <c r="B128" s="1199"/>
      <c r="C128" s="1199"/>
      <c r="D128" s="1199"/>
      <c r="E128" s="1200"/>
      <c r="F128" s="1198" t="s">
        <v>879</v>
      </c>
      <c r="G128" s="1199"/>
      <c r="H128" s="1200"/>
      <c r="I128" s="1198" t="s">
        <v>879</v>
      </c>
      <c r="J128" s="1199"/>
      <c r="K128" s="1199"/>
      <c r="L128" s="1199"/>
      <c r="M128" s="1200"/>
      <c r="N128" s="1254"/>
      <c r="O128" s="799"/>
    </row>
    <row r="129" spans="1:15" ht="9.9499999999999993" customHeight="1" x14ac:dyDescent="0.2">
      <c r="A129" s="1198" t="s">
        <v>893</v>
      </c>
      <c r="B129" s="1199"/>
      <c r="C129" s="1199"/>
      <c r="D129" s="1199"/>
      <c r="E129" s="1200"/>
      <c r="F129" s="1198" t="s">
        <v>1555</v>
      </c>
      <c r="G129" s="1199"/>
      <c r="H129" s="1200"/>
      <c r="I129" s="1198" t="s">
        <v>1801</v>
      </c>
      <c r="J129" s="1199"/>
      <c r="K129" s="1199"/>
      <c r="L129" s="1199"/>
      <c r="M129" s="1200"/>
      <c r="N129" s="1255"/>
    </row>
    <row r="130" spans="1:15" ht="9.9499999999999993" customHeight="1" x14ac:dyDescent="0.2">
      <c r="A130" s="1201" t="s">
        <v>894</v>
      </c>
      <c r="B130" s="1202"/>
      <c r="C130" s="1202"/>
      <c r="D130" s="1202"/>
      <c r="E130" s="1203"/>
      <c r="F130" s="1201" t="s">
        <v>894</v>
      </c>
      <c r="G130" s="1202"/>
      <c r="H130" s="1203"/>
      <c r="I130" s="1201" t="s">
        <v>1802</v>
      </c>
      <c r="J130" s="1202"/>
      <c r="K130" s="1202"/>
      <c r="L130" s="1202"/>
      <c r="M130" s="1203"/>
      <c r="N130" s="645" t="str">
        <f>+N69</f>
        <v>27F18</v>
      </c>
    </row>
    <row r="131" spans="1:15" s="649" customFormat="1" ht="5.25" x14ac:dyDescent="0.15">
      <c r="A131" s="647"/>
      <c r="B131" s="647"/>
      <c r="C131" s="647"/>
      <c r="D131" s="647"/>
      <c r="E131" s="647"/>
      <c r="F131" s="648"/>
      <c r="G131" s="648"/>
      <c r="I131" s="650"/>
      <c r="J131" s="650"/>
      <c r="N131" s="651"/>
      <c r="O131" s="808"/>
    </row>
    <row r="132" spans="1:15" ht="9" customHeight="1" x14ac:dyDescent="0.25">
      <c r="A132" s="13"/>
      <c r="E132" s="4"/>
      <c r="F132" s="1235" t="s">
        <v>602</v>
      </c>
      <c r="G132" s="1236"/>
      <c r="H132" s="1237"/>
      <c r="J132" s="1204" t="str">
        <f>A22</f>
        <v>Error: No Company Name Entered</v>
      </c>
      <c r="K132" s="1204"/>
      <c r="L132" s="1204"/>
      <c r="M132" s="1204"/>
      <c r="N132" s="1204"/>
    </row>
    <row r="133" spans="1:15" ht="9" customHeight="1" x14ac:dyDescent="0.25">
      <c r="A133" s="13"/>
      <c r="E133" s="4"/>
      <c r="F133" s="1238"/>
      <c r="G133" s="1239"/>
      <c r="H133" s="1240"/>
      <c r="L133" s="357"/>
      <c r="M133" s="1245" t="str">
        <f>I22</f>
        <v>Error: No EIN Entered</v>
      </c>
      <c r="N133" s="1246"/>
    </row>
    <row r="134" spans="1:15" s="73" customFormat="1" ht="12" customHeight="1" x14ac:dyDescent="0.15">
      <c r="F134" s="347"/>
      <c r="G134" s="347"/>
      <c r="H134" s="347"/>
      <c r="L134" s="369"/>
      <c r="M134" s="369"/>
      <c r="O134" s="800"/>
    </row>
    <row r="135" spans="1:15" ht="15.75" x14ac:dyDescent="0.25">
      <c r="A135" s="1249" t="s">
        <v>616</v>
      </c>
      <c r="B135" s="1249"/>
      <c r="C135" s="1249"/>
      <c r="D135" s="1249"/>
      <c r="E135" s="1249"/>
      <c r="F135" s="1249"/>
      <c r="G135" s="1249"/>
      <c r="H135" s="1249"/>
      <c r="I135" s="1249"/>
      <c r="J135" s="1249"/>
      <c r="K135" s="1249"/>
      <c r="L135" s="1249"/>
      <c r="M135" s="1249"/>
      <c r="N135" s="1249"/>
    </row>
    <row r="136" spans="1:15" ht="11.25" customHeight="1" x14ac:dyDescent="0.2">
      <c r="L136" s="357"/>
      <c r="M136" s="357"/>
    </row>
    <row r="137" spans="1:15" ht="15.75" x14ac:dyDescent="0.25">
      <c r="B137" s="13" t="s">
        <v>1105</v>
      </c>
      <c r="L137" s="357"/>
      <c r="M137" s="357"/>
    </row>
    <row r="138" spans="1:15" s="73" customFormat="1" ht="8.25" x14ac:dyDescent="0.15">
      <c r="O138" s="800"/>
    </row>
    <row r="139" spans="1:15" ht="15.75" customHeight="1" x14ac:dyDescent="0.2">
      <c r="A139" s="71" t="s">
        <v>547</v>
      </c>
      <c r="B139" s="1288" t="s">
        <v>1106</v>
      </c>
      <c r="C139" s="1288"/>
      <c r="D139" s="1288"/>
      <c r="E139" s="1288"/>
      <c r="F139" s="1288"/>
      <c r="G139" s="1289"/>
      <c r="H139" s="611" t="s">
        <v>422</v>
      </c>
      <c r="I139" s="610" t="str">
        <f>IF(Data!C92=0,"",-Data!C92)</f>
        <v/>
      </c>
      <c r="J139" s="606"/>
      <c r="L139" s="658"/>
      <c r="M139" s="659"/>
      <c r="N139" s="660"/>
    </row>
    <row r="140" spans="1:15" ht="15.75" customHeight="1" x14ac:dyDescent="0.25">
      <c r="A140" s="71"/>
      <c r="B140" s="1288"/>
      <c r="C140" s="1288"/>
      <c r="D140" s="1288"/>
      <c r="E140" s="1288"/>
      <c r="F140" s="1288"/>
      <c r="G140" s="1289"/>
      <c r="H140" s="611" t="s">
        <v>423</v>
      </c>
      <c r="I140" s="610" t="str">
        <f>IF(Data!C93=0,"",-Data!C93)</f>
        <v/>
      </c>
      <c r="J140" s="606"/>
      <c r="K140" s="48"/>
      <c r="L140" s="663"/>
      <c r="M140" s="664"/>
      <c r="N140" s="665"/>
    </row>
    <row r="141" spans="1:15" ht="15.75" customHeight="1" x14ac:dyDescent="0.25">
      <c r="A141" s="71"/>
      <c r="B141" s="1288"/>
      <c r="C141" s="1288"/>
      <c r="D141" s="1288"/>
      <c r="E141" s="1288"/>
      <c r="F141" s="1288"/>
      <c r="G141" s="1289"/>
      <c r="H141" s="611" t="s">
        <v>424</v>
      </c>
      <c r="I141" s="610" t="str">
        <f>IF(Data!C94=0,"",-Data!C94)</f>
        <v/>
      </c>
      <c r="J141" s="606"/>
      <c r="K141" s="48" t="s">
        <v>553</v>
      </c>
      <c r="L141" s="1291">
        <f>-Data!C95</f>
        <v>0</v>
      </c>
      <c r="M141" s="1292"/>
      <c r="N141" s="1293"/>
    </row>
    <row r="142" spans="1:15" s="7" customFormat="1" ht="7.5" customHeight="1" x14ac:dyDescent="0.15">
      <c r="O142" s="800"/>
    </row>
    <row r="143" spans="1:15" ht="15.75" x14ac:dyDescent="0.25">
      <c r="A143" s="72" t="s">
        <v>556</v>
      </c>
      <c r="B143" s="50" t="s">
        <v>611</v>
      </c>
      <c r="C143" s="51"/>
      <c r="K143" s="48" t="s">
        <v>1107</v>
      </c>
      <c r="L143" s="1206">
        <f>'Complete This Page'!I47</f>
        <v>0</v>
      </c>
      <c r="M143" s="1207"/>
      <c r="N143" s="1208"/>
    </row>
    <row r="144" spans="1:15" s="73" customFormat="1" ht="7.5" customHeight="1" x14ac:dyDescent="0.15">
      <c r="A144" s="612"/>
      <c r="O144" s="800"/>
    </row>
    <row r="145" spans="1:15" ht="35.1" customHeight="1" x14ac:dyDescent="0.25">
      <c r="A145" s="71" t="s">
        <v>765</v>
      </c>
      <c r="B145" s="1297" t="s">
        <v>612</v>
      </c>
      <c r="C145" s="1297"/>
      <c r="D145" s="1297"/>
      <c r="E145" s="1297"/>
      <c r="F145" s="1297"/>
      <c r="G145" s="1297"/>
      <c r="H145" s="1297"/>
      <c r="I145" s="1297"/>
      <c r="J145" s="1297"/>
      <c r="K145" s="48" t="s">
        <v>1108</v>
      </c>
      <c r="L145" s="1206">
        <f>ROUND(L164*0.05,0)</f>
        <v>0</v>
      </c>
      <c r="M145" s="1207"/>
      <c r="N145" s="1208"/>
    </row>
    <row r="146" spans="1:15" s="7" customFormat="1" ht="7.5" customHeight="1" x14ac:dyDescent="0.15">
      <c r="O146" s="800"/>
    </row>
    <row r="147" spans="1:15" ht="35.1" customHeight="1" x14ac:dyDescent="0.25">
      <c r="A147" s="71" t="s">
        <v>1098</v>
      </c>
      <c r="B147" s="971" t="s">
        <v>965</v>
      </c>
      <c r="C147" s="971"/>
      <c r="D147" s="971"/>
      <c r="E147" s="971"/>
      <c r="F147" s="971"/>
      <c r="G147" s="971"/>
      <c r="H147" s="971"/>
      <c r="I147" s="971"/>
      <c r="J147" s="971"/>
      <c r="K147" s="48" t="s">
        <v>1110</v>
      </c>
      <c r="L147" s="1206">
        <f>IF(AND(Data!B12=FALSE,Data!B13=FALSE),SUM('Complete This Page'!I56:J58),0)</f>
        <v>0</v>
      </c>
      <c r="M147" s="1207"/>
      <c r="N147" s="1208"/>
    </row>
    <row r="148" spans="1:15" s="7" customFormat="1" ht="7.5" customHeight="1" x14ac:dyDescent="0.15">
      <c r="O148" s="800"/>
    </row>
    <row r="149" spans="1:15" ht="15.75" x14ac:dyDescent="0.25">
      <c r="A149" s="72" t="s">
        <v>1111</v>
      </c>
      <c r="B149" s="50" t="s">
        <v>1122</v>
      </c>
      <c r="K149" s="48" t="s">
        <v>1113</v>
      </c>
      <c r="L149" s="1206">
        <v>0</v>
      </c>
      <c r="M149" s="1207"/>
      <c r="N149" s="1208"/>
    </row>
    <row r="150" spans="1:15" s="7" customFormat="1" ht="7.5" customHeight="1" x14ac:dyDescent="0.15">
      <c r="O150" s="800"/>
    </row>
    <row r="151" spans="1:15" ht="15.75" customHeight="1" x14ac:dyDescent="0.25">
      <c r="A151" s="72" t="s">
        <v>1114</v>
      </c>
      <c r="B151" s="50" t="s">
        <v>1112</v>
      </c>
      <c r="D151" s="1305" t="str">
        <f>IF(L151&lt;&gt;0,"Amounts similar to guaranteed payments per ORC 718.01(A)(1)(g)","")</f>
        <v/>
      </c>
      <c r="E151" s="1305"/>
      <c r="F151" s="1305"/>
      <c r="G151" s="1305"/>
      <c r="H151" s="1305"/>
      <c r="I151" s="1305"/>
      <c r="J151" s="525"/>
      <c r="K151" s="228" t="s">
        <v>1118</v>
      </c>
      <c r="L151" s="1270">
        <f>+'Complete This Page'!I59</f>
        <v>0</v>
      </c>
      <c r="M151" s="1298"/>
      <c r="N151" s="1271"/>
    </row>
    <row r="152" spans="1:15" s="7" customFormat="1" ht="7.5" customHeight="1" x14ac:dyDescent="0.15">
      <c r="O152" s="800"/>
    </row>
    <row r="153" spans="1:15" ht="15.75" customHeight="1" x14ac:dyDescent="0.25">
      <c r="A153" s="72" t="s">
        <v>1123</v>
      </c>
      <c r="B153" s="50" t="s">
        <v>1127</v>
      </c>
      <c r="K153" s="48" t="s">
        <v>1128</v>
      </c>
      <c r="L153" s="1206">
        <f>SUM(L140:N152)</f>
        <v>0</v>
      </c>
      <c r="M153" s="1207"/>
      <c r="N153" s="1208"/>
    </row>
    <row r="154" spans="1:15" s="1" customFormat="1" ht="11.25" customHeight="1" x14ac:dyDescent="0.2">
      <c r="O154" s="799"/>
    </row>
    <row r="155" spans="1:15" ht="15.75" x14ac:dyDescent="0.25">
      <c r="B155" s="13" t="s">
        <v>1129</v>
      </c>
    </row>
    <row r="156" spans="1:15" s="73" customFormat="1" ht="8.25" x14ac:dyDescent="0.15">
      <c r="O156" s="800"/>
    </row>
    <row r="157" spans="1:15" ht="15.75" customHeight="1" x14ac:dyDescent="0.2">
      <c r="A157" s="71" t="s">
        <v>1130</v>
      </c>
      <c r="B157" s="1301" t="s">
        <v>1132</v>
      </c>
      <c r="C157" s="1301"/>
      <c r="D157" s="1301"/>
      <c r="E157" s="1301"/>
      <c r="F157" s="1301"/>
      <c r="G157" s="1302"/>
      <c r="H157" s="820" t="s">
        <v>422</v>
      </c>
      <c r="I157" s="610" t="str">
        <f>IF(Data!C100=0,"",Data!C100)</f>
        <v/>
      </c>
      <c r="J157" s="606"/>
      <c r="L157" s="658"/>
      <c r="M157" s="659"/>
      <c r="N157" s="660"/>
    </row>
    <row r="158" spans="1:15" ht="15.75" customHeight="1" x14ac:dyDescent="0.2">
      <c r="A158" s="71"/>
      <c r="B158" s="1301"/>
      <c r="C158" s="1301"/>
      <c r="D158" s="1301"/>
      <c r="E158" s="1301"/>
      <c r="F158" s="1301"/>
      <c r="G158" s="1302"/>
      <c r="H158" s="820" t="s">
        <v>423</v>
      </c>
      <c r="I158" s="610" t="str">
        <f>IF(Data!C101=0,"",Data!C101)</f>
        <v/>
      </c>
      <c r="J158" s="606"/>
      <c r="L158" s="661"/>
      <c r="M158" s="16"/>
      <c r="N158" s="662"/>
    </row>
    <row r="159" spans="1:15" ht="15.75" customHeight="1" x14ac:dyDescent="0.25">
      <c r="A159" s="71"/>
      <c r="B159" s="1301"/>
      <c r="C159" s="1301"/>
      <c r="D159" s="1301"/>
      <c r="E159" s="1301"/>
      <c r="F159" s="1301"/>
      <c r="G159" s="1302"/>
      <c r="H159" s="820" t="s">
        <v>424</v>
      </c>
      <c r="I159" s="610" t="str">
        <f>IF(Data!C102=0,"",Data!C102)</f>
        <v/>
      </c>
      <c r="J159" s="606"/>
      <c r="K159" s="48"/>
      <c r="L159" s="663"/>
      <c r="M159" s="664"/>
      <c r="N159" s="665"/>
    </row>
    <row r="160" spans="1:15" ht="15.75" customHeight="1" x14ac:dyDescent="0.25">
      <c r="A160" s="71"/>
      <c r="B160" s="1301"/>
      <c r="C160" s="1301"/>
      <c r="D160" s="1301"/>
      <c r="E160" s="1301"/>
      <c r="F160" s="1301"/>
      <c r="G160" s="1302"/>
      <c r="H160" s="820" t="s">
        <v>425</v>
      </c>
      <c r="I160" s="610" t="str">
        <f>IF('291 Worksheet'!I51&gt;0,-'291 Worksheet'!I51,IF(Data!C111=0,"",-Data!C111))</f>
        <v/>
      </c>
      <c r="J160" s="606"/>
      <c r="K160" s="48" t="s">
        <v>1131</v>
      </c>
      <c r="L160" s="1291">
        <f>Data!C103-Data!C111-'291 Worksheet'!I51</f>
        <v>0</v>
      </c>
      <c r="M160" s="1292"/>
      <c r="N160" s="1293"/>
    </row>
    <row r="161" spans="1:15" s="7" customFormat="1" ht="7.5" customHeight="1" x14ac:dyDescent="0.15">
      <c r="O161" s="800"/>
    </row>
    <row r="162" spans="1:15" ht="15.75" customHeight="1" x14ac:dyDescent="0.2">
      <c r="A162" s="71" t="s">
        <v>1133</v>
      </c>
      <c r="B162" s="1169" t="s">
        <v>1137</v>
      </c>
      <c r="C162" s="1169"/>
      <c r="D162" s="1169"/>
      <c r="E162" s="1169"/>
      <c r="F162" s="1169"/>
      <c r="G162" s="1304"/>
      <c r="H162" s="820" t="s">
        <v>421</v>
      </c>
      <c r="I162" s="610" t="str">
        <f>IF('Complete This Page'!I43:J43=0,"",'Complete This Page'!I43:J43)</f>
        <v/>
      </c>
      <c r="J162" s="600"/>
      <c r="L162" s="658"/>
      <c r="M162" s="659"/>
      <c r="N162" s="660"/>
    </row>
    <row r="163" spans="1:15" ht="15.75" customHeight="1" x14ac:dyDescent="0.25">
      <c r="A163" s="71"/>
      <c r="B163" s="1169"/>
      <c r="C163" s="1169"/>
      <c r="D163" s="1169"/>
      <c r="E163" s="1169"/>
      <c r="F163" s="1169"/>
      <c r="G163" s="1304"/>
      <c r="H163" s="820" t="s">
        <v>10</v>
      </c>
      <c r="I163" s="610" t="str">
        <f>IF('Complete This Page'!I44:J44=0,"",'Complete This Page'!I44:J44)</f>
        <v/>
      </c>
      <c r="J163" s="600"/>
      <c r="K163" s="48"/>
      <c r="L163" s="663"/>
      <c r="M163" s="664"/>
      <c r="N163" s="665"/>
    </row>
    <row r="164" spans="1:15" ht="15.75" customHeight="1" x14ac:dyDescent="0.25">
      <c r="A164" s="71"/>
      <c r="B164" s="1169"/>
      <c r="C164" s="1169"/>
      <c r="D164" s="1169"/>
      <c r="E164" s="1169"/>
      <c r="F164" s="1169"/>
      <c r="G164" s="1304"/>
      <c r="H164" s="820" t="s">
        <v>11</v>
      </c>
      <c r="I164" s="610" t="str">
        <f>IF('Complete This Page'!I45:J45=0,"",'Complete This Page'!I45:J45)</f>
        <v/>
      </c>
      <c r="J164" s="600"/>
      <c r="K164" s="48" t="s">
        <v>1136</v>
      </c>
      <c r="L164" s="1291">
        <f>SUM('Complete This Page'!I43:J45)</f>
        <v>0</v>
      </c>
      <c r="M164" s="1292"/>
      <c r="N164" s="1293"/>
    </row>
    <row r="165" spans="1:15" s="7" customFormat="1" ht="7.5" customHeight="1" x14ac:dyDescent="0.15">
      <c r="O165" s="800"/>
    </row>
    <row r="166" spans="1:15" ht="15.75" x14ac:dyDescent="0.25">
      <c r="A166" s="72" t="s">
        <v>1135</v>
      </c>
      <c r="B166" s="50" t="s">
        <v>1112</v>
      </c>
      <c r="D166" s="1305" t="str">
        <f>IF(L166&lt;&gt;0,"Income (loss) of or from pass-through entities","")</f>
        <v/>
      </c>
      <c r="E166" s="1305"/>
      <c r="F166" s="1305"/>
      <c r="G166" s="1305"/>
      <c r="H166" s="1305"/>
      <c r="I166" s="1305"/>
      <c r="J166" s="525"/>
      <c r="K166" s="228" t="s">
        <v>1134</v>
      </c>
      <c r="L166" s="1270">
        <f>+'Complete This Page'!I46</f>
        <v>0</v>
      </c>
      <c r="M166" s="1298"/>
      <c r="N166" s="1271"/>
    </row>
    <row r="167" spans="1:15" s="7" customFormat="1" ht="7.5" customHeight="1" x14ac:dyDescent="0.15">
      <c r="O167" s="800"/>
    </row>
    <row r="168" spans="1:15" ht="15.75" x14ac:dyDescent="0.25">
      <c r="A168" s="72" t="s">
        <v>1138</v>
      </c>
      <c r="B168" s="50" t="s">
        <v>1196</v>
      </c>
      <c r="K168" s="48" t="s">
        <v>1197</v>
      </c>
      <c r="L168" s="1206">
        <f>SUM(L159:N167)</f>
        <v>0</v>
      </c>
      <c r="M168" s="1207"/>
      <c r="N168" s="1208"/>
    </row>
    <row r="169" spans="1:15" s="1" customFormat="1" ht="18.75" customHeight="1" x14ac:dyDescent="0.2">
      <c r="O169" s="799"/>
    </row>
    <row r="170" spans="1:15" x14ac:dyDescent="0.2">
      <c r="A170" s="1303" t="s">
        <v>1198</v>
      </c>
      <c r="B170" s="1303"/>
      <c r="C170" s="1303"/>
      <c r="D170" s="1303"/>
      <c r="E170" s="1303"/>
      <c r="F170" s="1303"/>
      <c r="G170" s="1303"/>
      <c r="H170" s="1303"/>
      <c r="I170" s="1303"/>
      <c r="J170" s="1303"/>
      <c r="K170" s="1303"/>
      <c r="L170" s="1303"/>
      <c r="M170" s="1303"/>
      <c r="N170" s="1303"/>
    </row>
    <row r="171" spans="1:15" x14ac:dyDescent="0.2">
      <c r="A171" s="1306" t="s">
        <v>1199</v>
      </c>
      <c r="B171" s="1306"/>
      <c r="C171" s="1306"/>
      <c r="D171" s="1306"/>
      <c r="E171" s="1306"/>
      <c r="F171" s="1306"/>
      <c r="G171" s="1306"/>
      <c r="H171" s="1306"/>
      <c r="I171" s="1306"/>
      <c r="J171" s="1306"/>
      <c r="K171" s="1306"/>
      <c r="L171" s="1306"/>
      <c r="M171" s="1306"/>
      <c r="N171" s="1306"/>
    </row>
    <row r="172" spans="1:15" s="1" customFormat="1" ht="3.75" customHeight="1" x14ac:dyDescent="0.2">
      <c r="O172" s="799"/>
    </row>
    <row r="173" spans="1:15" ht="15.75" x14ac:dyDescent="0.25">
      <c r="A173" s="5" t="s">
        <v>1432</v>
      </c>
      <c r="B173" s="1" t="s">
        <v>1431</v>
      </c>
      <c r="C173" s="1"/>
      <c r="D173" s="1"/>
      <c r="E173" s="1"/>
      <c r="F173" s="1"/>
      <c r="G173" s="1"/>
      <c r="H173" s="1"/>
      <c r="I173" s="1"/>
      <c r="J173" s="1"/>
      <c r="K173" s="110" t="s">
        <v>1432</v>
      </c>
      <c r="L173" s="1206">
        <f>'Complete This Page'!I42</f>
        <v>0</v>
      </c>
      <c r="M173" s="1207"/>
      <c r="N173" s="1208"/>
    </row>
    <row r="174" spans="1:15" s="608" customFormat="1" ht="3.75" customHeight="1" x14ac:dyDescent="0.15">
      <c r="A174" s="607"/>
      <c r="K174" s="609"/>
      <c r="O174" s="804"/>
    </row>
    <row r="175" spans="1:15" ht="15.75" x14ac:dyDescent="0.25">
      <c r="A175" s="5" t="s">
        <v>1433</v>
      </c>
      <c r="B175" s="1" t="s">
        <v>45</v>
      </c>
      <c r="C175" s="1"/>
      <c r="D175" s="1"/>
      <c r="E175" s="1"/>
      <c r="F175" s="1"/>
      <c r="G175" s="1"/>
      <c r="H175" s="1"/>
      <c r="I175" s="1"/>
      <c r="J175" s="1"/>
      <c r="K175" s="110" t="s">
        <v>1433</v>
      </c>
      <c r="L175" s="1206">
        <f>IF(Data!F9=TRUE,0,0)</f>
        <v>0</v>
      </c>
      <c r="M175" s="1207"/>
      <c r="N175" s="1208"/>
    </row>
    <row r="176" spans="1:15" s="608" customFormat="1" ht="3.75" customHeight="1" x14ac:dyDescent="0.15">
      <c r="A176" s="607"/>
      <c r="K176" s="609"/>
      <c r="O176" s="804"/>
    </row>
    <row r="177" spans="1:15" ht="15.75" x14ac:dyDescent="0.25">
      <c r="A177" s="5" t="s">
        <v>1434</v>
      </c>
      <c r="B177" s="1" t="s">
        <v>55</v>
      </c>
      <c r="C177" s="1"/>
      <c r="D177" s="1"/>
      <c r="E177" s="1"/>
      <c r="F177" s="1"/>
      <c r="G177" s="1"/>
      <c r="H177" s="1"/>
      <c r="I177" s="1"/>
      <c r="J177" s="1"/>
      <c r="K177" s="110" t="s">
        <v>1434</v>
      </c>
      <c r="L177" s="1270">
        <f>IF(Data!F9=TRUE,0,Data!C148)</f>
        <v>0</v>
      </c>
      <c r="M177" s="1298"/>
      <c r="N177" s="1271"/>
    </row>
    <row r="178" spans="1:15" s="1" customFormat="1" ht="3.95" customHeight="1" x14ac:dyDescent="0.2">
      <c r="O178" s="799"/>
    </row>
    <row r="179" spans="1:15" ht="15.75" x14ac:dyDescent="0.25">
      <c r="A179" s="5" t="s">
        <v>46</v>
      </c>
      <c r="B179" s="1" t="s">
        <v>54</v>
      </c>
      <c r="C179" s="1"/>
      <c r="D179" s="1"/>
      <c r="E179" s="1"/>
      <c r="F179" s="1"/>
      <c r="G179" s="1"/>
      <c r="H179" s="1"/>
      <c r="I179" s="1"/>
      <c r="J179" s="1"/>
      <c r="K179" s="110" t="s">
        <v>46</v>
      </c>
      <c r="L179" s="1270">
        <f>IF(Data!F9=TRUE,0,Data!C159)</f>
        <v>0</v>
      </c>
      <c r="M179" s="1298"/>
      <c r="N179" s="1271"/>
    </row>
    <row r="180" spans="1:15" s="1" customFormat="1" ht="3.95" customHeight="1" x14ac:dyDescent="0.2">
      <c r="O180" s="799"/>
    </row>
    <row r="181" spans="1:15" ht="15.75" x14ac:dyDescent="0.25">
      <c r="B181" s="1" t="s">
        <v>52</v>
      </c>
      <c r="C181" s="1"/>
      <c r="D181" s="1"/>
      <c r="E181" s="1"/>
      <c r="F181" s="1"/>
      <c r="G181" s="1"/>
      <c r="H181" s="1"/>
      <c r="I181" s="1"/>
      <c r="J181" s="1"/>
      <c r="K181" s="110"/>
      <c r="L181" s="1206">
        <v>0</v>
      </c>
      <c r="M181" s="1207"/>
      <c r="N181" s="1208"/>
    </row>
    <row r="182" spans="1:15" s="1" customFormat="1" ht="3.95" customHeight="1" x14ac:dyDescent="0.2">
      <c r="O182" s="799"/>
    </row>
    <row r="183" spans="1:15" ht="15.75" x14ac:dyDescent="0.25">
      <c r="B183" s="1" t="s">
        <v>53</v>
      </c>
      <c r="C183" s="1"/>
      <c r="D183" s="1299" t="str">
        <f>IF('Complete This Page'!I64="","","Domestic Production Activities Deduction")</f>
        <v>Domestic Production Activities Deduction</v>
      </c>
      <c r="E183" s="1299"/>
      <c r="F183" s="1299"/>
      <c r="G183" s="1299"/>
      <c r="H183" s="1299"/>
      <c r="I183" s="1299"/>
      <c r="J183" s="526"/>
      <c r="K183" s="110"/>
      <c r="L183" s="1270">
        <f>IF('Complete This Page'!I64="",0,-'Complete This Page'!I64)</f>
        <v>0</v>
      </c>
      <c r="M183" s="1298"/>
      <c r="N183" s="1271"/>
    </row>
    <row r="184" spans="1:15" s="1" customFormat="1" ht="3.95" customHeight="1" x14ac:dyDescent="0.2">
      <c r="O184" s="799"/>
    </row>
    <row r="185" spans="1:15" ht="15.75" x14ac:dyDescent="0.25">
      <c r="A185" s="5" t="s">
        <v>47</v>
      </c>
      <c r="B185" s="1" t="s">
        <v>48</v>
      </c>
      <c r="C185" s="1"/>
      <c r="D185" s="1"/>
      <c r="E185" s="1"/>
      <c r="F185" s="1"/>
      <c r="G185" s="1"/>
      <c r="H185" s="1"/>
      <c r="I185" s="1"/>
      <c r="J185" s="1"/>
      <c r="K185" s="110" t="s">
        <v>47</v>
      </c>
      <c r="L185" s="1270">
        <f>SUM(L173:N184)</f>
        <v>0</v>
      </c>
      <c r="M185" s="1298"/>
      <c r="N185" s="1271"/>
    </row>
    <row r="186" spans="1:15" s="106" customFormat="1" ht="24" customHeight="1" x14ac:dyDescent="0.15">
      <c r="B186" s="1300" t="s">
        <v>51</v>
      </c>
      <c r="C186" s="1300"/>
      <c r="D186" s="1300"/>
      <c r="E186" s="1300"/>
      <c r="F186" s="1300"/>
      <c r="G186" s="1300"/>
      <c r="H186" s="1300"/>
      <c r="O186" s="801"/>
    </row>
    <row r="187" spans="1:15" ht="15" customHeight="1" x14ac:dyDescent="0.2">
      <c r="B187" s="68"/>
      <c r="N187" s="69" t="s">
        <v>158</v>
      </c>
    </row>
    <row r="188" spans="1:15" x14ac:dyDescent="0.2">
      <c r="A188" s="1326"/>
      <c r="B188" s="1326"/>
      <c r="C188" s="1326"/>
      <c r="D188" s="1326"/>
      <c r="E188" s="1326"/>
      <c r="F188" s="1327"/>
      <c r="G188" s="1327"/>
      <c r="N188" s="70">
        <v>3</v>
      </c>
    </row>
    <row r="189" spans="1:15" s="107" customFormat="1" ht="12" customHeight="1" x14ac:dyDescent="0.2">
      <c r="A189" s="362"/>
      <c r="B189" s="79"/>
      <c r="C189" s="73"/>
      <c r="D189" s="73"/>
      <c r="E189" s="244"/>
      <c r="F189" s="244"/>
      <c r="G189" s="244"/>
      <c r="H189" s="244"/>
      <c r="I189" s="245"/>
      <c r="J189" s="245"/>
      <c r="K189" s="73"/>
      <c r="L189" s="73"/>
      <c r="M189" s="73"/>
      <c r="N189" s="783" t="str">
        <f>+N69</f>
        <v>27F18</v>
      </c>
      <c r="O189" s="804"/>
    </row>
    <row r="190" spans="1:15" s="73" customFormat="1" ht="11.25" x14ac:dyDescent="0.2">
      <c r="A190" s="782" t="s">
        <v>490</v>
      </c>
      <c r="B190" s="797"/>
      <c r="E190" s="244"/>
      <c r="F190" s="244"/>
      <c r="G190" s="244"/>
      <c r="H190" s="244"/>
      <c r="I190" s="245"/>
      <c r="J190" s="245"/>
      <c r="K190" s="797"/>
      <c r="N190" s="745"/>
      <c r="O190" s="800"/>
    </row>
    <row r="191" spans="1:15" ht="16.5" thickBot="1" x14ac:dyDescent="0.3">
      <c r="A191" s="1308">
        <f>+References!C1</f>
        <v>2018</v>
      </c>
      <c r="B191" s="1309"/>
      <c r="C191" s="253"/>
      <c r="D191" s="1316" t="str">
        <f>A22</f>
        <v>Error: No Company Name Entered</v>
      </c>
      <c r="E191" s="1316"/>
      <c r="F191" s="1316"/>
      <c r="G191" s="1316"/>
      <c r="H191" s="1316"/>
      <c r="I191" s="1316"/>
      <c r="J191" s="527"/>
      <c r="K191" s="265"/>
      <c r="L191" s="1320" t="str">
        <f>I22</f>
        <v>Error: No EIN Entered</v>
      </c>
      <c r="M191" s="1320"/>
      <c r="N191" s="1320"/>
    </row>
    <row r="192" spans="1:15" ht="20.25" x14ac:dyDescent="0.3">
      <c r="A192" s="254" t="s">
        <v>120</v>
      </c>
      <c r="E192" s="239"/>
      <c r="F192" s="239"/>
      <c r="G192" s="239"/>
      <c r="H192" s="239"/>
      <c r="I192" s="232"/>
      <c r="J192" s="232"/>
      <c r="N192" s="242"/>
    </row>
    <row r="193" spans="1:15" s="10" customFormat="1" ht="11.25" x14ac:dyDescent="0.2">
      <c r="A193" s="4"/>
      <c r="E193" s="559"/>
      <c r="F193" s="559"/>
      <c r="G193" s="559"/>
      <c r="H193" s="559"/>
      <c r="I193" s="560"/>
      <c r="J193" s="560"/>
      <c r="N193" s="360"/>
      <c r="O193" s="799"/>
    </row>
    <row r="194" spans="1:15" s="10" customFormat="1" ht="15.75" x14ac:dyDescent="0.25">
      <c r="A194" s="566" t="s">
        <v>14</v>
      </c>
      <c r="B194" s="567"/>
      <c r="C194" s="568" t="s">
        <v>431</v>
      </c>
      <c r="E194" s="559"/>
      <c r="F194" s="559"/>
      <c r="G194" s="559"/>
      <c r="H194" s="559"/>
      <c r="I194" s="560"/>
      <c r="J194" s="560"/>
      <c r="N194" s="360"/>
      <c r="O194" s="799"/>
    </row>
    <row r="195" spans="1:15" s="10" customFormat="1" ht="15.75" x14ac:dyDescent="0.25">
      <c r="A195" s="565">
        <v>1</v>
      </c>
      <c r="B195" s="1311" t="s">
        <v>433</v>
      </c>
      <c r="C195" s="1311"/>
      <c r="D195" s="1311"/>
      <c r="E195" s="1311"/>
      <c r="F195" s="1311"/>
      <c r="G195" s="1311"/>
      <c r="H195" s="1311"/>
      <c r="I195" s="1311"/>
      <c r="J195" s="1311"/>
      <c r="K195" s="563">
        <f>+A195</f>
        <v>1</v>
      </c>
      <c r="L195" s="1283">
        <f>IF(Data!B$49=TRUE,0,ROUND((('Complete This Page'!I$74+'Complete This Page'!I$75+'Complete This Page'!I$76+'Complete This Page'!I$78+'Complete This Page'!I$80)+('Complete This Page'!I$77+'Complete This Page'!I$79+'Complete This Page'!I$81))/2,0))</f>
        <v>0</v>
      </c>
      <c r="M195" s="1283"/>
      <c r="N195" s="1284"/>
      <c r="O195" s="799"/>
    </row>
    <row r="196" spans="1:15" s="10" customFormat="1" ht="16.5" thickBot="1" x14ac:dyDescent="0.3">
      <c r="A196" s="565">
        <v>2</v>
      </c>
      <c r="B196" s="1310" t="s">
        <v>1643</v>
      </c>
      <c r="C196" s="1311"/>
      <c r="D196" s="1311"/>
      <c r="E196" s="1311"/>
      <c r="F196" s="1311"/>
      <c r="G196" s="1311"/>
      <c r="H196" s="1311"/>
      <c r="I196" s="1311"/>
      <c r="J196" s="1311"/>
      <c r="K196" s="570">
        <f>+A196</f>
        <v>2</v>
      </c>
      <c r="L196" s="1314">
        <f>IF(Data!B$49=TRUE,0,SUM('Complete This Page'!I$72:J$73)*8)</f>
        <v>0</v>
      </c>
      <c r="M196" s="1314"/>
      <c r="N196" s="1315"/>
      <c r="O196" s="799"/>
    </row>
    <row r="197" spans="1:15" s="10" customFormat="1" ht="15.75" x14ac:dyDescent="0.25">
      <c r="A197" s="565">
        <v>3</v>
      </c>
      <c r="B197" s="1311" t="s">
        <v>412</v>
      </c>
      <c r="C197" s="1311"/>
      <c r="D197" s="1311"/>
      <c r="E197" s="1311"/>
      <c r="F197" s="1311"/>
      <c r="G197" s="1311"/>
      <c r="H197" s="1311"/>
      <c r="I197" s="1311"/>
      <c r="J197" s="1311"/>
      <c r="K197" s="520">
        <f>+A197</f>
        <v>3</v>
      </c>
      <c r="L197" s="1346">
        <f>+L195+L196</f>
        <v>0</v>
      </c>
      <c r="M197" s="1346"/>
      <c r="N197" s="1347"/>
      <c r="O197" s="799"/>
    </row>
    <row r="198" spans="1:15" s="10" customFormat="1" ht="22.5" customHeight="1" x14ac:dyDescent="0.25">
      <c r="A198" s="571">
        <v>4</v>
      </c>
      <c r="B198" s="1317" t="s">
        <v>434</v>
      </c>
      <c r="C198" s="1318"/>
      <c r="D198" s="1318"/>
      <c r="E198" s="1318"/>
      <c r="F198" s="1318"/>
      <c r="G198" s="1318"/>
      <c r="H198" s="1318"/>
      <c r="I198" s="1318"/>
      <c r="J198" s="1319"/>
      <c r="K198" s="563">
        <f>+A198</f>
        <v>4</v>
      </c>
      <c r="L198" s="1283">
        <f>IF(Data!B$49=TRUE,0,SUM('Complete This Page'!I$68:J$71))</f>
        <v>0</v>
      </c>
      <c r="M198" s="1283"/>
      <c r="N198" s="1284"/>
      <c r="O198" s="799"/>
    </row>
    <row r="199" spans="1:15" s="10" customFormat="1" ht="15.75" x14ac:dyDescent="0.25">
      <c r="A199" s="565">
        <v>5</v>
      </c>
      <c r="B199" s="1311" t="s">
        <v>435</v>
      </c>
      <c r="C199" s="1311"/>
      <c r="D199" s="1311"/>
      <c r="E199" s="1311"/>
      <c r="F199" s="1311"/>
      <c r="G199" s="1311"/>
      <c r="H199" s="1311"/>
      <c r="I199" s="1311"/>
      <c r="J199" s="1311"/>
      <c r="K199" s="563">
        <f>+A199</f>
        <v>5</v>
      </c>
      <c r="L199" s="1283">
        <f>IF(Data!B$49=TRUE,0,'Complete This Page'!I$67)</f>
        <v>0</v>
      </c>
      <c r="M199" s="1283"/>
      <c r="N199" s="1284"/>
      <c r="O199" s="799"/>
    </row>
    <row r="200" spans="1:15" s="10" customFormat="1" ht="11.25" x14ac:dyDescent="0.2">
      <c r="A200" s="4"/>
      <c r="E200" s="559"/>
      <c r="F200" s="559"/>
      <c r="G200" s="559"/>
      <c r="H200" s="559"/>
      <c r="I200" s="560"/>
      <c r="J200" s="560"/>
      <c r="N200" s="360"/>
      <c r="O200" s="799"/>
    </row>
    <row r="201" spans="1:15" s="10" customFormat="1" ht="15.75" x14ac:dyDescent="0.25">
      <c r="A201" s="566" t="s">
        <v>1014</v>
      </c>
      <c r="B201" s="567"/>
      <c r="C201" s="568" t="s">
        <v>438</v>
      </c>
      <c r="E201" s="559"/>
      <c r="F201" s="559"/>
      <c r="G201" s="559"/>
      <c r="H201" s="559"/>
      <c r="I201" s="560"/>
      <c r="J201" s="560"/>
      <c r="N201" s="360"/>
      <c r="O201" s="799"/>
    </row>
    <row r="202" spans="1:15" s="10" customFormat="1" ht="15.75" x14ac:dyDescent="0.25">
      <c r="A202" s="565">
        <v>6</v>
      </c>
      <c r="B202" s="1311" t="s">
        <v>439</v>
      </c>
      <c r="C202" s="1311"/>
      <c r="D202" s="1311"/>
      <c r="E202" s="1311"/>
      <c r="F202" s="1311"/>
      <c r="G202" s="1311"/>
      <c r="H202" s="1311"/>
      <c r="I202" s="1311"/>
      <c r="J202" s="1311"/>
      <c r="K202" s="563">
        <f>+A202</f>
        <v>6</v>
      </c>
      <c r="L202" s="1283">
        <f>IF(L197&gt;0,1,0)</f>
        <v>0</v>
      </c>
      <c r="M202" s="1283"/>
      <c r="N202" s="1284"/>
      <c r="O202" s="799"/>
    </row>
    <row r="203" spans="1:15" s="10" customFormat="1" ht="15.75" x14ac:dyDescent="0.25">
      <c r="A203" s="565">
        <v>7</v>
      </c>
      <c r="B203" s="1311" t="s">
        <v>440</v>
      </c>
      <c r="C203" s="1311"/>
      <c r="D203" s="1311"/>
      <c r="E203" s="1311"/>
      <c r="F203" s="1311"/>
      <c r="G203" s="1311"/>
      <c r="H203" s="1311"/>
      <c r="I203" s="1311"/>
      <c r="J203" s="1311"/>
      <c r="K203" s="569">
        <f>+A203</f>
        <v>7</v>
      </c>
      <c r="L203" s="1348">
        <f>IF(L198&gt;0,1,0)</f>
        <v>0</v>
      </c>
      <c r="M203" s="1348"/>
      <c r="N203" s="1349"/>
      <c r="O203" s="799"/>
    </row>
    <row r="204" spans="1:15" s="10" customFormat="1" ht="16.5" thickBot="1" x14ac:dyDescent="0.3">
      <c r="A204" s="565">
        <v>8</v>
      </c>
      <c r="B204" s="1311" t="s">
        <v>441</v>
      </c>
      <c r="C204" s="1311"/>
      <c r="D204" s="1311"/>
      <c r="E204" s="1311"/>
      <c r="F204" s="1311"/>
      <c r="G204" s="1311"/>
      <c r="H204" s="1311"/>
      <c r="I204" s="1311"/>
      <c r="J204" s="1311"/>
      <c r="K204" s="582">
        <f>+A204</f>
        <v>8</v>
      </c>
      <c r="L204" s="1281">
        <f>IF(L199&gt;0,1,0)</f>
        <v>0</v>
      </c>
      <c r="M204" s="1281"/>
      <c r="N204" s="1282"/>
      <c r="O204" s="799"/>
    </row>
    <row r="205" spans="1:15" s="10" customFormat="1" ht="15.75" customHeight="1" x14ac:dyDescent="0.25">
      <c r="A205" s="571">
        <v>9</v>
      </c>
      <c r="B205" s="1311" t="s">
        <v>442</v>
      </c>
      <c r="C205" s="1311"/>
      <c r="D205" s="1311"/>
      <c r="E205" s="1311"/>
      <c r="F205" s="1311"/>
      <c r="G205" s="1311"/>
      <c r="H205" s="1311"/>
      <c r="I205" s="1311"/>
      <c r="J205" s="1311"/>
      <c r="K205" s="520">
        <f>+A205</f>
        <v>9</v>
      </c>
      <c r="L205" s="1346">
        <f>SUM(L202:N204)</f>
        <v>0</v>
      </c>
      <c r="M205" s="1346"/>
      <c r="N205" s="1347"/>
      <c r="O205" s="799"/>
    </row>
    <row r="206" spans="1:15" s="10" customFormat="1" ht="11.25" x14ac:dyDescent="0.2">
      <c r="A206" s="4"/>
      <c r="E206" s="559"/>
      <c r="F206" s="559"/>
      <c r="G206" s="559"/>
      <c r="H206" s="559"/>
      <c r="I206" s="560"/>
      <c r="J206" s="560"/>
      <c r="N206" s="360"/>
      <c r="O206" s="799"/>
    </row>
    <row r="207" spans="1:15" s="10" customFormat="1" ht="16.5" thickBot="1" x14ac:dyDescent="0.3">
      <c r="A207" s="566" t="s">
        <v>1081</v>
      </c>
      <c r="B207" s="567"/>
      <c r="C207" s="568" t="s">
        <v>432</v>
      </c>
      <c r="E207" s="559"/>
      <c r="F207" s="559"/>
      <c r="G207" s="559"/>
      <c r="H207" s="559"/>
      <c r="I207" s="560"/>
      <c r="J207" s="560"/>
      <c r="N207" s="360"/>
      <c r="O207" s="799"/>
    </row>
    <row r="208" spans="1:15" s="10" customFormat="1" ht="11.25" x14ac:dyDescent="0.2">
      <c r="A208" s="580"/>
      <c r="B208" s="1313" t="s">
        <v>553</v>
      </c>
      <c r="C208" s="1313"/>
      <c r="D208" s="1313"/>
      <c r="E208" s="579" t="s">
        <v>1107</v>
      </c>
      <c r="F208" s="579" t="s">
        <v>1108</v>
      </c>
      <c r="G208" s="579" t="s">
        <v>1110</v>
      </c>
      <c r="H208" s="587" t="s">
        <v>1113</v>
      </c>
      <c r="I208" s="589" t="s">
        <v>1118</v>
      </c>
      <c r="J208" s="588" t="s">
        <v>1128</v>
      </c>
      <c r="K208" s="1313" t="s">
        <v>430</v>
      </c>
      <c r="L208" s="1313"/>
      <c r="M208" s="578" t="s">
        <v>436</v>
      </c>
      <c r="N208" s="583" t="s">
        <v>437</v>
      </c>
      <c r="O208" s="799"/>
    </row>
    <row r="209" spans="1:16" s="10" customFormat="1" ht="22.5" x14ac:dyDescent="0.2">
      <c r="A209" s="581"/>
      <c r="B209" s="1341" t="s">
        <v>491</v>
      </c>
      <c r="C209" s="1342"/>
      <c r="D209" s="1343"/>
      <c r="E209" s="573" t="s">
        <v>419</v>
      </c>
      <c r="F209" s="573" t="s">
        <v>418</v>
      </c>
      <c r="G209" s="573" t="s">
        <v>413</v>
      </c>
      <c r="H209" s="574" t="s">
        <v>414</v>
      </c>
      <c r="I209" s="575" t="s">
        <v>416</v>
      </c>
      <c r="J209" s="576" t="s">
        <v>417</v>
      </c>
      <c r="K209" s="1344" t="s">
        <v>427</v>
      </c>
      <c r="L209" s="1345"/>
      <c r="M209" s="577" t="s">
        <v>428</v>
      </c>
      <c r="N209" s="584" t="s">
        <v>429</v>
      </c>
      <c r="O209" s="799"/>
    </row>
    <row r="210" spans="1:16" s="10" customFormat="1" ht="12" x14ac:dyDescent="0.2">
      <c r="A210" s="562">
        <v>10</v>
      </c>
      <c r="B210" s="1312" t="str">
        <f>IF(Overflow!D66&gt;0,"See Schedule",IF(Data!$A$40&lt;&gt;0,Data!$A$40,""))</f>
        <v/>
      </c>
      <c r="C210" s="1312"/>
      <c r="D210" s="1312"/>
      <c r="E210" s="870" t="str">
        <f>IF(B210="","",IF(L$202=0,"",'Complete This Page'!D$84))</f>
        <v/>
      </c>
      <c r="F210" s="871" t="str">
        <f>IF(B210="","",IF(L$202=0,"",'Complete This Page'!D$85))</f>
        <v/>
      </c>
      <c r="G210" s="871" t="str">
        <f>IF(B210="","",IF(L$202=0,"",+E210+F210))</f>
        <v/>
      </c>
      <c r="H210" s="872" t="str">
        <f>IF(B210="","",IF(L$202=0,"",ROUND(G210/L$197,6)))</f>
        <v/>
      </c>
      <c r="I210" s="873" t="str">
        <f>IF(B210="","",IF(L$203=0,"",'Complete This Page'!D$87))</f>
        <v/>
      </c>
      <c r="J210" s="874" t="str">
        <f>IF(B210="","",IF(L$203=0,"",ROUND(I210/L$198,6)))</f>
        <v/>
      </c>
      <c r="K210" s="1325" t="str">
        <f>IF(B210="","",IF(L$204=0,"",'Complete This Page'!D$88))</f>
        <v/>
      </c>
      <c r="L210" s="1325"/>
      <c r="M210" s="875" t="str">
        <f>IF(B210="","",IF(L$204=0,"",ROUND(K210/L$199,6)))</f>
        <v/>
      </c>
      <c r="N210" s="872" t="str">
        <f>IF(OR(B210="",B210="See Schedule",Data!B49=TRUE),"",Data!O3)</f>
        <v/>
      </c>
      <c r="O210" s="809"/>
      <c r="P210" s="590"/>
    </row>
    <row r="211" spans="1:16" s="10" customFormat="1" ht="12" x14ac:dyDescent="0.2">
      <c r="A211" s="562">
        <v>11</v>
      </c>
      <c r="B211" s="1312" t="str">
        <f>IF(Data!$A$41&lt;&gt;0,Data!$A$41,"")</f>
        <v/>
      </c>
      <c r="C211" s="1312"/>
      <c r="D211" s="1312"/>
      <c r="E211" s="870" t="str">
        <f>IF(B211="","",IF(L$202=0,"",'Complete This Page'!E$84))</f>
        <v/>
      </c>
      <c r="F211" s="871" t="str">
        <f>IF(B211="","",IF(L$202=0,"",'Complete This Page'!E$85))</f>
        <v/>
      </c>
      <c r="G211" s="871" t="str">
        <f>IF(B211="","",IF(L$202=0,"",+E211+F211))</f>
        <v/>
      </c>
      <c r="H211" s="872" t="str">
        <f>IF(B211="","",IF(L$202=0,"",ROUND(G211/L$197,6)))</f>
        <v/>
      </c>
      <c r="I211" s="873" t="str">
        <f>IF(B211="","",IF(L$203=0,"",'Complete This Page'!E$87))</f>
        <v/>
      </c>
      <c r="J211" s="874" t="str">
        <f>IF(B211="","",IF(L$203=0,"",ROUND(I211/L$198,6)))</f>
        <v/>
      </c>
      <c r="K211" s="1325" t="str">
        <f>IF(B211="","",IF(L$204=0,"",'Complete This Page'!E$88))</f>
        <v/>
      </c>
      <c r="L211" s="1325"/>
      <c r="M211" s="875" t="str">
        <f>IF(B211="","",IF(L$204=0,"",ROUND(K211/L$199,6)))</f>
        <v/>
      </c>
      <c r="N211" s="872" t="str">
        <f>IF(B211="","",Data!O4)</f>
        <v/>
      </c>
      <c r="O211" s="799"/>
    </row>
    <row r="212" spans="1:16" s="10" customFormat="1" ht="12" x14ac:dyDescent="0.2">
      <c r="A212" s="562">
        <v>12</v>
      </c>
      <c r="B212" s="1312" t="str">
        <f>IF(Data!$A$42&lt;&gt;0,Data!$A$42,"")</f>
        <v/>
      </c>
      <c r="C212" s="1312"/>
      <c r="D212" s="1312"/>
      <c r="E212" s="870" t="str">
        <f>IF(B212="","",IF(L$202=0,"",'Complete This Page'!F$84))</f>
        <v/>
      </c>
      <c r="F212" s="871" t="str">
        <f>IF(B212="","",IF(L$202=0,"",'Complete This Page'!F$85))</f>
        <v/>
      </c>
      <c r="G212" s="871" t="str">
        <f>IF(B212="","",IF(L$202=0,"",+E212+F212))</f>
        <v/>
      </c>
      <c r="H212" s="872" t="str">
        <f>IF(B212="","",IF(L$202=0,"",ROUND(G212/L$197,6)))</f>
        <v/>
      </c>
      <c r="I212" s="873" t="str">
        <f>IF(B212="","",IF(L$203=0,"",'Complete This Page'!F$87))</f>
        <v/>
      </c>
      <c r="J212" s="874" t="str">
        <f>IF(B212="","",IF(L$203=0,"",ROUND(I212/L$198,6)))</f>
        <v/>
      </c>
      <c r="K212" s="1325" t="str">
        <f>IF(B212="","",IF(L$204=0,"",'Complete This Page'!F$88))</f>
        <v/>
      </c>
      <c r="L212" s="1325"/>
      <c r="M212" s="875" t="str">
        <f>IF(B212="","",IF(L$204=0,"",ROUND(K212/L$199,6)))</f>
        <v/>
      </c>
      <c r="N212" s="872" t="str">
        <f>IF(B212="","",Data!O5)</f>
        <v/>
      </c>
      <c r="O212" s="799"/>
    </row>
    <row r="213" spans="1:16" s="10" customFormat="1" ht="12" x14ac:dyDescent="0.2">
      <c r="A213" s="562">
        <v>13</v>
      </c>
      <c r="B213" s="1312" t="str">
        <f>IF(Data!$A$43&lt;&gt;0,Data!$A$43,"")</f>
        <v/>
      </c>
      <c r="C213" s="1312"/>
      <c r="D213" s="1312"/>
      <c r="E213" s="870" t="str">
        <f>IF(B213="","",IF(L$202=0,"",'Complete This Page'!G$84))</f>
        <v/>
      </c>
      <c r="F213" s="871" t="str">
        <f>IF(B213="","",IF(L$202=0,"",'Complete This Page'!G$85))</f>
        <v/>
      </c>
      <c r="G213" s="871" t="str">
        <f>IF(B213="","",IF(L$202=0,"",+E213+F213))</f>
        <v/>
      </c>
      <c r="H213" s="872" t="str">
        <f>IF(B213="","",IF(L$202=0,"",ROUND(G213/L$197,6)))</f>
        <v/>
      </c>
      <c r="I213" s="873" t="str">
        <f>IF(B213="","",IF(L$203=0,"",'Complete This Page'!G$87))</f>
        <v/>
      </c>
      <c r="J213" s="874" t="str">
        <f>IF(B213="","",IF(L$203=0,"",ROUND(I213/L$198,6)))</f>
        <v/>
      </c>
      <c r="K213" s="1325" t="str">
        <f>IF(B213="","",IF(L$204=0,"",'Complete This Page'!G$88))</f>
        <v/>
      </c>
      <c r="L213" s="1325"/>
      <c r="M213" s="875" t="str">
        <f>IF(B213="","",IF(L$204=0,"",ROUND(K213/L$199,6)))</f>
        <v/>
      </c>
      <c r="N213" s="872" t="str">
        <f>IF(B213="","",Data!O6)</f>
        <v/>
      </c>
      <c r="O213" s="799"/>
    </row>
    <row r="214" spans="1:16" s="10" customFormat="1" thickBot="1" x14ac:dyDescent="0.25">
      <c r="A214" s="562">
        <v>14</v>
      </c>
      <c r="B214" s="1312" t="str">
        <f>IF(Data!$A$44&lt;&gt;0,Data!$A$44,"")</f>
        <v/>
      </c>
      <c r="C214" s="1312"/>
      <c r="D214" s="1312"/>
      <c r="E214" s="870" t="str">
        <f>IF(B214="","",IF(L$202=0,"",'Complete This Page'!H$84))</f>
        <v/>
      </c>
      <c r="F214" s="871" t="str">
        <f>IF(B214="","",IF(L$202=0,"",'Complete This Page'!H$85))</f>
        <v/>
      </c>
      <c r="G214" s="871" t="str">
        <f>IF(B214="","",IF(L$202=0,"",+E214+F214))</f>
        <v/>
      </c>
      <c r="H214" s="872" t="str">
        <f>IF(B214="","",IF(L$202=0,"",ROUND(G214/L$197,6)))</f>
        <v/>
      </c>
      <c r="I214" s="876" t="str">
        <f>IF(B214="","",IF(L$203=0,"",'Complete This Page'!H$87))</f>
        <v/>
      </c>
      <c r="J214" s="874" t="str">
        <f>IF(B214="","",IF(L$203=0,"",ROUND(I214/L$198,6)))</f>
        <v/>
      </c>
      <c r="K214" s="1325" t="str">
        <f>IF(B214="","",IF(L$204=0,"",'Complete This Page'!H$88))</f>
        <v/>
      </c>
      <c r="L214" s="1325"/>
      <c r="M214" s="875" t="str">
        <f>IF(B214="","",IF(L$204=0,"",ROUND(K214/L$199,6)))</f>
        <v/>
      </c>
      <c r="N214" s="872" t="str">
        <f>IF(B214="","",Data!O7)</f>
        <v/>
      </c>
      <c r="O214" s="799"/>
    </row>
    <row r="215" spans="1:16" s="10" customFormat="1" ht="11.25" x14ac:dyDescent="0.2">
      <c r="A215" s="581">
        <v>15</v>
      </c>
      <c r="B215" s="1340" t="s">
        <v>448</v>
      </c>
      <c r="C215" s="1340"/>
      <c r="D215" s="1340"/>
      <c r="E215" s="1340"/>
      <c r="F215" s="1340"/>
      <c r="G215" s="1340"/>
      <c r="H215" s="1340"/>
      <c r="I215" s="1340"/>
      <c r="J215" s="1340"/>
      <c r="K215" s="1340"/>
      <c r="L215" s="1340"/>
      <c r="M215" s="1340"/>
      <c r="N215" s="572">
        <f>SUM(N210:N214)</f>
        <v>0</v>
      </c>
      <c r="O215" s="810"/>
    </row>
    <row r="216" spans="1:16" s="10" customFormat="1" ht="11.25" x14ac:dyDescent="0.2">
      <c r="A216" s="521"/>
      <c r="B216" s="243"/>
      <c r="C216" s="243"/>
      <c r="D216" s="243"/>
      <c r="E216" s="564"/>
      <c r="F216" s="564"/>
      <c r="G216" s="564"/>
      <c r="H216" s="564"/>
      <c r="I216" s="564"/>
      <c r="J216" s="564"/>
      <c r="K216" s="243"/>
      <c r="L216" s="243"/>
      <c r="M216" s="564"/>
      <c r="N216" s="564"/>
      <c r="O216" s="810"/>
    </row>
    <row r="217" spans="1:16" x14ac:dyDescent="0.2">
      <c r="A217" s="185"/>
      <c r="B217" s="243"/>
      <c r="C217" s="243"/>
      <c r="D217" s="243"/>
      <c r="E217" s="243"/>
      <c r="F217" s="243"/>
      <c r="G217" s="243"/>
      <c r="H217" s="243"/>
      <c r="I217" s="243"/>
      <c r="J217" s="243"/>
      <c r="K217" s="243"/>
      <c r="L217" s="243"/>
      <c r="M217" s="243"/>
      <c r="N217" s="248"/>
    </row>
    <row r="218" spans="1:16" ht="20.25" x14ac:dyDescent="0.3">
      <c r="A218" s="254" t="s">
        <v>492</v>
      </c>
      <c r="B218" s="243"/>
      <c r="C218" s="243"/>
      <c r="D218" s="243"/>
      <c r="E218" s="243"/>
      <c r="F218" s="243"/>
      <c r="G218" s="243"/>
      <c r="H218" s="243"/>
      <c r="I218" s="243"/>
      <c r="J218" s="243"/>
      <c r="K218" s="243"/>
      <c r="L218" s="243"/>
      <c r="M218" s="243"/>
      <c r="N218" s="248"/>
    </row>
    <row r="219" spans="1:16" x14ac:dyDescent="0.2">
      <c r="A219" s="218">
        <v>1</v>
      </c>
      <c r="B219" s="247" t="s">
        <v>1153</v>
      </c>
      <c r="C219" s="247"/>
      <c r="D219" s="247"/>
      <c r="E219" s="247"/>
      <c r="F219" s="247"/>
      <c r="G219" s="247"/>
      <c r="H219" s="247"/>
      <c r="I219" s="247"/>
      <c r="J219" s="247"/>
      <c r="K219" s="247"/>
      <c r="L219" s="247"/>
      <c r="M219" s="1323">
        <f>IF(Data!B174=TRUE,'Complete This Page'!I138,SUM('Complete This Page'!E142:E146))</f>
        <v>0</v>
      </c>
      <c r="N219" s="1324"/>
    </row>
    <row r="220" spans="1:16" x14ac:dyDescent="0.2">
      <c r="A220" s="185">
        <v>2</v>
      </c>
      <c r="B220" s="734" t="s">
        <v>1625</v>
      </c>
      <c r="C220" s="243"/>
      <c r="D220" s="243"/>
      <c r="E220" s="243"/>
      <c r="F220" s="243"/>
      <c r="G220" s="243"/>
      <c r="H220" s="243"/>
      <c r="I220" s="243"/>
      <c r="J220" s="243"/>
      <c r="K220" s="243"/>
      <c r="L220" s="243"/>
      <c r="M220" s="585"/>
      <c r="N220" s="586"/>
    </row>
    <row r="221" spans="1:16" x14ac:dyDescent="0.2">
      <c r="A221" s="185"/>
      <c r="B221" s="1321" t="str">
        <f>IF('Complete This Page'!B149="","",'Complete This Page'!B149)</f>
        <v>No explanation provided</v>
      </c>
      <c r="C221" s="1321"/>
      <c r="D221" s="1321"/>
      <c r="E221" s="1321"/>
      <c r="F221" s="1321"/>
      <c r="G221" s="1321"/>
      <c r="H221" s="1321"/>
      <c r="I221" s="1321"/>
      <c r="J221" s="1321"/>
      <c r="K221" s="1321"/>
      <c r="L221" s="1321"/>
      <c r="M221" s="1321"/>
      <c r="N221" s="1321"/>
    </row>
    <row r="222" spans="1:16" x14ac:dyDescent="0.2">
      <c r="A222" s="249"/>
      <c r="B222" s="1322"/>
      <c r="C222" s="1322"/>
      <c r="D222" s="1322"/>
      <c r="E222" s="1322"/>
      <c r="F222" s="1322"/>
      <c r="G222" s="1322"/>
      <c r="H222" s="1322"/>
      <c r="I222" s="1322"/>
      <c r="J222" s="1322"/>
      <c r="K222" s="1322"/>
      <c r="L222" s="1322"/>
      <c r="M222" s="1322"/>
      <c r="N222" s="1322"/>
    </row>
    <row r="223" spans="1:16" ht="25.5" customHeight="1" x14ac:dyDescent="0.2">
      <c r="A223" s="741">
        <v>3</v>
      </c>
      <c r="B223" s="1334" t="s">
        <v>1626</v>
      </c>
      <c r="C223" s="1335"/>
      <c r="D223" s="1335"/>
      <c r="E223" s="1335"/>
      <c r="F223" s="1335"/>
      <c r="G223" s="1335"/>
      <c r="H223" s="1335"/>
      <c r="I223" s="1335"/>
      <c r="J223" s="1335"/>
      <c r="K223" s="1335"/>
      <c r="L223" s="1335"/>
      <c r="M223" s="1335"/>
      <c r="N223" s="1335"/>
      <c r="O223" s="811"/>
      <c r="P223" s="742"/>
    </row>
    <row r="224" spans="1:16" ht="15" customHeight="1" x14ac:dyDescent="0.2">
      <c r="A224" s="185"/>
      <c r="B224" s="1330" t="s">
        <v>539</v>
      </c>
      <c r="C224" s="1331"/>
      <c r="D224" s="1331"/>
      <c r="E224" s="740"/>
      <c r="F224" s="740"/>
      <c r="G224" s="740"/>
      <c r="H224" s="740"/>
      <c r="I224" s="740"/>
      <c r="J224" s="740"/>
      <c r="K224" s="744" t="s">
        <v>1640</v>
      </c>
      <c r="L224" s="152"/>
      <c r="M224" s="152"/>
    </row>
    <row r="225" spans="1:15" x14ac:dyDescent="0.2">
      <c r="A225" s="185"/>
      <c r="B225" s="1328" t="str">
        <f>IF('Complete This Page'!$F$152="","",'Complete This Page'!$F$152)</f>
        <v/>
      </c>
      <c r="C225" s="1328"/>
      <c r="D225" s="1328"/>
      <c r="E225" s="1328"/>
      <c r="F225" s="1329"/>
      <c r="G225" s="1329"/>
      <c r="H225" s="1329"/>
      <c r="I225" s="1329"/>
      <c r="J225" s="740"/>
      <c r="K225" s="1332" t="str">
        <f>IF('Complete This Page'!$C$152="","",'Complete This Page'!$C$152)</f>
        <v/>
      </c>
      <c r="L225" s="1333"/>
      <c r="M225" s="1333"/>
      <c r="N225" s="1333"/>
    </row>
    <row r="226" spans="1:15" x14ac:dyDescent="0.2">
      <c r="A226" s="185"/>
      <c r="H226" s="740"/>
      <c r="I226" s="740"/>
      <c r="J226" s="740"/>
      <c r="K226" s="740"/>
      <c r="L226" s="740"/>
      <c r="M226" s="740"/>
      <c r="N226" s="740"/>
    </row>
    <row r="227" spans="1:15" x14ac:dyDescent="0.2">
      <c r="A227" s="185"/>
      <c r="B227" s="243"/>
      <c r="C227" s="243"/>
      <c r="D227" s="1336" t="s">
        <v>1627</v>
      </c>
      <c r="E227" s="1337"/>
      <c r="F227" s="1337"/>
      <c r="G227" s="1337"/>
      <c r="H227" s="1337"/>
      <c r="I227" s="1337"/>
      <c r="J227" s="1337"/>
      <c r="K227" s="1337"/>
      <c r="L227" s="1337"/>
      <c r="M227" s="243"/>
      <c r="N227" s="248"/>
    </row>
    <row r="228" spans="1:15" x14ac:dyDescent="0.2">
      <c r="A228" s="185"/>
      <c r="B228" s="243"/>
      <c r="C228" s="243"/>
      <c r="D228" s="1337"/>
      <c r="E228" s="1337"/>
      <c r="F228" s="1337"/>
      <c r="G228" s="1337"/>
      <c r="H228" s="1337"/>
      <c r="I228" s="1337"/>
      <c r="J228" s="1337"/>
      <c r="K228" s="1337"/>
      <c r="L228" s="1337"/>
      <c r="M228" s="243"/>
      <c r="N228" s="248"/>
    </row>
    <row r="229" spans="1:15" x14ac:dyDescent="0.2">
      <c r="A229" s="185"/>
      <c r="B229" s="243"/>
      <c r="C229" s="243"/>
      <c r="D229" s="1337"/>
      <c r="E229" s="1337"/>
      <c r="F229" s="1337"/>
      <c r="G229" s="1337"/>
      <c r="H229" s="1337"/>
      <c r="I229" s="1337"/>
      <c r="J229" s="1337"/>
      <c r="K229" s="1337"/>
      <c r="L229" s="1337"/>
      <c r="M229" s="243"/>
      <c r="N229" s="248"/>
    </row>
    <row r="230" spans="1:15" x14ac:dyDescent="0.2">
      <c r="A230" s="185"/>
      <c r="B230" s="243"/>
      <c r="C230" s="243"/>
      <c r="D230" s="1336" t="s">
        <v>1628</v>
      </c>
      <c r="E230" s="1338"/>
      <c r="F230" s="1338"/>
      <c r="G230" s="1338"/>
      <c r="H230" s="1338"/>
      <c r="I230" s="1338"/>
      <c r="J230" s="1338"/>
      <c r="K230" s="1338"/>
      <c r="L230" s="1338"/>
      <c r="M230" s="243"/>
      <c r="N230" s="248"/>
    </row>
    <row r="231" spans="1:15" x14ac:dyDescent="0.2">
      <c r="A231" s="185"/>
      <c r="B231" s="243"/>
      <c r="C231" s="243"/>
      <c r="D231" s="1338"/>
      <c r="E231" s="1338"/>
      <c r="F231" s="1338"/>
      <c r="G231" s="1338"/>
      <c r="H231" s="1338"/>
      <c r="I231" s="1338"/>
      <c r="J231" s="1338"/>
      <c r="K231" s="1338"/>
      <c r="L231" s="1338"/>
      <c r="M231" s="243"/>
      <c r="N231" s="248"/>
    </row>
    <row r="232" spans="1:15" x14ac:dyDescent="0.2">
      <c r="A232" s="185"/>
      <c r="B232" s="243"/>
      <c r="C232" s="243"/>
      <c r="D232" s="1338"/>
      <c r="E232" s="1338"/>
      <c r="F232" s="1338"/>
      <c r="G232" s="1338"/>
      <c r="H232" s="1338"/>
      <c r="I232" s="1338"/>
      <c r="J232" s="1338"/>
      <c r="K232" s="1338"/>
      <c r="L232" s="1338"/>
      <c r="M232" s="243"/>
      <c r="N232" s="248"/>
    </row>
    <row r="233" spans="1:15" x14ac:dyDescent="0.2">
      <c r="A233" s="185"/>
      <c r="B233" s="243"/>
      <c r="C233" s="243"/>
      <c r="D233" s="243"/>
      <c r="E233" s="243"/>
      <c r="F233" s="243"/>
      <c r="G233" s="243"/>
      <c r="H233" s="243"/>
      <c r="I233" s="243"/>
      <c r="J233" s="243"/>
      <c r="K233" s="243"/>
      <c r="L233" s="243"/>
      <c r="M233" s="243"/>
      <c r="N233" s="248"/>
    </row>
    <row r="234" spans="1:15" ht="7.5" customHeight="1" x14ac:dyDescent="0.2">
      <c r="A234" s="185"/>
      <c r="B234" s="243"/>
      <c r="C234" s="243"/>
      <c r="D234" s="243"/>
      <c r="E234" s="243"/>
      <c r="F234" s="243"/>
      <c r="G234" s="243"/>
      <c r="H234" s="243"/>
      <c r="I234" s="243"/>
      <c r="J234" s="243"/>
      <c r="K234" s="243"/>
      <c r="L234" s="243"/>
      <c r="M234" s="243"/>
      <c r="N234" s="248"/>
    </row>
    <row r="235" spans="1:15" x14ac:dyDescent="0.2">
      <c r="A235" s="185"/>
      <c r="B235" s="243"/>
      <c r="C235" s="243"/>
      <c r="D235" s="243"/>
      <c r="E235" s="243"/>
      <c r="F235" s="243"/>
      <c r="G235" s="243"/>
      <c r="H235" s="243"/>
      <c r="I235" s="243"/>
      <c r="J235" s="243"/>
      <c r="K235" s="243"/>
      <c r="L235" s="243"/>
      <c r="M235" s="243"/>
      <c r="N235" s="248"/>
    </row>
    <row r="236" spans="1:15" x14ac:dyDescent="0.2">
      <c r="A236" s="185"/>
      <c r="B236" s="243"/>
      <c r="C236" s="243"/>
      <c r="D236" s="243"/>
      <c r="E236" s="243"/>
      <c r="F236" s="243"/>
      <c r="G236" s="243"/>
      <c r="H236" s="243"/>
      <c r="I236" s="243"/>
      <c r="J236" s="243"/>
      <c r="K236" s="243"/>
      <c r="L236" s="243"/>
      <c r="M236" s="243"/>
      <c r="N236" s="248"/>
    </row>
    <row r="237" spans="1:15" s="1" customFormat="1" ht="11.25" x14ac:dyDescent="0.2">
      <c r="H237" s="519"/>
      <c r="I237" s="519"/>
      <c r="J237" s="519"/>
      <c r="O237" s="799"/>
    </row>
    <row r="238" spans="1:15" s="1" customFormat="1" ht="11.25" x14ac:dyDescent="0.2">
      <c r="A238" s="1307" t="s">
        <v>1638</v>
      </c>
      <c r="B238" s="1307"/>
      <c r="C238" s="1307"/>
      <c r="D238" s="1307"/>
      <c r="E238" s="1307"/>
      <c r="F238" s="1339" t="s">
        <v>1554</v>
      </c>
      <c r="G238" s="1339"/>
      <c r="H238" s="1339"/>
      <c r="I238" s="519"/>
      <c r="J238" s="723" t="s">
        <v>656</v>
      </c>
      <c r="O238" s="799"/>
    </row>
    <row r="239" spans="1:15" s="1" customFormat="1" ht="11.25" x14ac:dyDescent="0.2">
      <c r="A239" s="1" t="s">
        <v>879</v>
      </c>
      <c r="F239" s="1199" t="s">
        <v>879</v>
      </c>
      <c r="G239" s="1199"/>
      <c r="H239" s="1199"/>
      <c r="I239" s="721"/>
      <c r="J239" s="519"/>
      <c r="O239" s="799"/>
    </row>
    <row r="240" spans="1:15" s="1" customFormat="1" x14ac:dyDescent="0.2">
      <c r="A240" s="1" t="s">
        <v>893</v>
      </c>
      <c r="F240" s="1199" t="s">
        <v>1555</v>
      </c>
      <c r="G240" s="1199"/>
      <c r="H240" s="1199"/>
      <c r="I240" s="721"/>
      <c r="J240" s="519"/>
      <c r="N240" s="69" t="s">
        <v>158</v>
      </c>
      <c r="O240" s="799"/>
    </row>
    <row r="241" spans="1:15" x14ac:dyDescent="0.2">
      <c r="A241" s="68" t="s">
        <v>894</v>
      </c>
      <c r="B241" s="123"/>
      <c r="C241" s="123"/>
      <c r="D241" s="123"/>
      <c r="E241" s="123"/>
      <c r="F241" s="1199" t="s">
        <v>894</v>
      </c>
      <c r="G241" s="1199"/>
      <c r="H241" s="1199"/>
      <c r="I241" s="518"/>
      <c r="J241" s="518"/>
      <c r="K241" s="16"/>
      <c r="N241" s="70">
        <v>4</v>
      </c>
    </row>
    <row r="242" spans="1:15" x14ac:dyDescent="0.2">
      <c r="B242" s="722"/>
      <c r="C242" s="722"/>
      <c r="D242" s="722"/>
      <c r="E242" s="722"/>
      <c r="F242" s="722"/>
      <c r="G242" s="722"/>
      <c r="H242" s="722"/>
      <c r="I242" s="518"/>
      <c r="J242" s="518"/>
      <c r="K242" s="16"/>
      <c r="N242" s="346" t="str">
        <f>+N69</f>
        <v>27F18</v>
      </c>
    </row>
    <row r="246" spans="1:15" s="1" customFormat="1" ht="11.25" x14ac:dyDescent="0.2">
      <c r="O246" s="799"/>
    </row>
  </sheetData>
  <sheetProtection algorithmName="SHA-512" hashValue="J4d/oC2H9lhdBkZZC19bGOWig3O7kS431JcUQM4Sx8EJBcdrK6E3U3iK9liWaCjgpGa7kq7F4Wn86IRAZHxX/Q==" saltValue="ZQihMJhRITmS8rxvmAY0AQ==" spinCount="100000" sheet="1" objects="1" scenarios="1"/>
  <mergeCells count="223">
    <mergeCell ref="A188:E188"/>
    <mergeCell ref="F188:G188"/>
    <mergeCell ref="B225:I225"/>
    <mergeCell ref="B224:D224"/>
    <mergeCell ref="K225:N225"/>
    <mergeCell ref="B223:N223"/>
    <mergeCell ref="D227:L229"/>
    <mergeCell ref="D230:L232"/>
    <mergeCell ref="F238:H238"/>
    <mergeCell ref="B212:D212"/>
    <mergeCell ref="B213:D213"/>
    <mergeCell ref="K211:L211"/>
    <mergeCell ref="B215:M215"/>
    <mergeCell ref="K213:L213"/>
    <mergeCell ref="K212:L212"/>
    <mergeCell ref="B211:D211"/>
    <mergeCell ref="B209:D209"/>
    <mergeCell ref="K209:L209"/>
    <mergeCell ref="K210:L210"/>
    <mergeCell ref="L197:N197"/>
    <mergeCell ref="L205:N205"/>
    <mergeCell ref="B205:J205"/>
    <mergeCell ref="L203:N203"/>
    <mergeCell ref="B204:J204"/>
    <mergeCell ref="F239:H239"/>
    <mergeCell ref="F240:H240"/>
    <mergeCell ref="A238:E238"/>
    <mergeCell ref="A191:B191"/>
    <mergeCell ref="B196:J196"/>
    <mergeCell ref="B214:D214"/>
    <mergeCell ref="B208:D208"/>
    <mergeCell ref="L196:N196"/>
    <mergeCell ref="L202:N202"/>
    <mergeCell ref="B203:J203"/>
    <mergeCell ref="B197:J197"/>
    <mergeCell ref="B199:J199"/>
    <mergeCell ref="D191:I191"/>
    <mergeCell ref="B198:J198"/>
    <mergeCell ref="L191:N191"/>
    <mergeCell ref="L199:N199"/>
    <mergeCell ref="B195:J195"/>
    <mergeCell ref="B221:N222"/>
    <mergeCell ref="L198:N198"/>
    <mergeCell ref="B210:D210"/>
    <mergeCell ref="M219:N219"/>
    <mergeCell ref="B202:J202"/>
    <mergeCell ref="K208:L208"/>
    <mergeCell ref="K214:L214"/>
    <mergeCell ref="L185:N185"/>
    <mergeCell ref="D183:I183"/>
    <mergeCell ref="L173:N173"/>
    <mergeCell ref="L177:N177"/>
    <mergeCell ref="L179:N179"/>
    <mergeCell ref="L175:N175"/>
    <mergeCell ref="B186:H186"/>
    <mergeCell ref="B147:J147"/>
    <mergeCell ref="B157:G160"/>
    <mergeCell ref="A170:N170"/>
    <mergeCell ref="B162:G164"/>
    <mergeCell ref="D166:I166"/>
    <mergeCell ref="L147:N147"/>
    <mergeCell ref="D151:I151"/>
    <mergeCell ref="L151:N151"/>
    <mergeCell ref="L149:N149"/>
    <mergeCell ref="L153:N153"/>
    <mergeCell ref="L160:N160"/>
    <mergeCell ref="L181:N181"/>
    <mergeCell ref="L183:N183"/>
    <mergeCell ref="L166:N166"/>
    <mergeCell ref="L164:N164"/>
    <mergeCell ref="L168:N168"/>
    <mergeCell ref="A171:N171"/>
    <mergeCell ref="L204:N204"/>
    <mergeCell ref="L195:N195"/>
    <mergeCell ref="H123:N123"/>
    <mergeCell ref="F83:G83"/>
    <mergeCell ref="H122:N122"/>
    <mergeCell ref="L105:N105"/>
    <mergeCell ref="A97:E97"/>
    <mergeCell ref="L143:N143"/>
    <mergeCell ref="L145:N145"/>
    <mergeCell ref="D124:E124"/>
    <mergeCell ref="D125:E125"/>
    <mergeCell ref="B139:G141"/>
    <mergeCell ref="K124:N124"/>
    <mergeCell ref="F132:H133"/>
    <mergeCell ref="J132:N132"/>
    <mergeCell ref="M133:N133"/>
    <mergeCell ref="A127:E127"/>
    <mergeCell ref="L141:N141"/>
    <mergeCell ref="F127:H127"/>
    <mergeCell ref="F129:H129"/>
    <mergeCell ref="F130:H130"/>
    <mergeCell ref="F128:H128"/>
    <mergeCell ref="B145:J145"/>
    <mergeCell ref="A130:E130"/>
    <mergeCell ref="A128:E128"/>
    <mergeCell ref="A129:E129"/>
    <mergeCell ref="A99:E99"/>
    <mergeCell ref="L83:N83"/>
    <mergeCell ref="L77:N77"/>
    <mergeCell ref="A74:N74"/>
    <mergeCell ref="C62:K62"/>
    <mergeCell ref="A73:N73"/>
    <mergeCell ref="A118:N118"/>
    <mergeCell ref="A123:D123"/>
    <mergeCell ref="L113:N113"/>
    <mergeCell ref="L93:N93"/>
    <mergeCell ref="L95:N95"/>
    <mergeCell ref="D112:I112"/>
    <mergeCell ref="L97:N97"/>
    <mergeCell ref="L99:N99"/>
    <mergeCell ref="L101:N101"/>
    <mergeCell ref="L107:N107"/>
    <mergeCell ref="F95:G95"/>
    <mergeCell ref="F97:G97"/>
    <mergeCell ref="F99:G99"/>
    <mergeCell ref="F101:G101"/>
    <mergeCell ref="I95:J95"/>
    <mergeCell ref="H120:J120"/>
    <mergeCell ref="J121:N121"/>
    <mergeCell ref="L103:N103"/>
    <mergeCell ref="F103:G103"/>
    <mergeCell ref="I101:J101"/>
    <mergeCell ref="I85:J85"/>
    <mergeCell ref="I87:J87"/>
    <mergeCell ref="F85:G85"/>
    <mergeCell ref="I97:J97"/>
    <mergeCell ref="F79:G79"/>
    <mergeCell ref="F81:G81"/>
    <mergeCell ref="I79:J79"/>
    <mergeCell ref="F87:G87"/>
    <mergeCell ref="F93:G93"/>
    <mergeCell ref="I93:J93"/>
    <mergeCell ref="L109:N109"/>
    <mergeCell ref="I83:J83"/>
    <mergeCell ref="L111:N111"/>
    <mergeCell ref="A103:E103"/>
    <mergeCell ref="A101:E101"/>
    <mergeCell ref="L29:N29"/>
    <mergeCell ref="L31:N31"/>
    <mergeCell ref="L47:N47"/>
    <mergeCell ref="B54:I54"/>
    <mergeCell ref="L57:N57"/>
    <mergeCell ref="A75:N75"/>
    <mergeCell ref="L61:N61"/>
    <mergeCell ref="F77:G77"/>
    <mergeCell ref="I77:J77"/>
    <mergeCell ref="L39:N39"/>
    <mergeCell ref="L41:N41"/>
    <mergeCell ref="L43:N43"/>
    <mergeCell ref="L45:N45"/>
    <mergeCell ref="J31:K31"/>
    <mergeCell ref="C66:D66"/>
    <mergeCell ref="C68:D68"/>
    <mergeCell ref="I103:J103"/>
    <mergeCell ref="A95:E95"/>
    <mergeCell ref="I99:J99"/>
    <mergeCell ref="L85:N85"/>
    <mergeCell ref="A87:E87"/>
    <mergeCell ref="A85:E85"/>
    <mergeCell ref="F241:H241"/>
    <mergeCell ref="A2:B6"/>
    <mergeCell ref="M71:N71"/>
    <mergeCell ref="L64:N64"/>
    <mergeCell ref="L55:N55"/>
    <mergeCell ref="M2:N2"/>
    <mergeCell ref="M3:N3"/>
    <mergeCell ref="D24:H24"/>
    <mergeCell ref="A24:C24"/>
    <mergeCell ref="A26:H26"/>
    <mergeCell ref="A135:N135"/>
    <mergeCell ref="A79:E79"/>
    <mergeCell ref="C67:I67"/>
    <mergeCell ref="L79:N79"/>
    <mergeCell ref="L81:N81"/>
    <mergeCell ref="H124:I124"/>
    <mergeCell ref="H125:I125"/>
    <mergeCell ref="N127:N129"/>
    <mergeCell ref="L87:N87"/>
    <mergeCell ref="A89:N89"/>
    <mergeCell ref="K8:L8"/>
    <mergeCell ref="J13:L13"/>
    <mergeCell ref="J26:L26"/>
    <mergeCell ref="I22:L22"/>
    <mergeCell ref="L49:N49"/>
    <mergeCell ref="L33:N33"/>
    <mergeCell ref="B30:H30"/>
    <mergeCell ref="A83:E83"/>
    <mergeCell ref="A81:E81"/>
    <mergeCell ref="I81:J81"/>
    <mergeCell ref="C65:K65"/>
    <mergeCell ref="J70:N70"/>
    <mergeCell ref="C38:I38"/>
    <mergeCell ref="C50:I50"/>
    <mergeCell ref="F70:H71"/>
    <mergeCell ref="B52:H52"/>
    <mergeCell ref="L53:N53"/>
    <mergeCell ref="L59:N59"/>
    <mergeCell ref="I127:M127"/>
    <mergeCell ref="I128:M128"/>
    <mergeCell ref="I129:M129"/>
    <mergeCell ref="I130:M130"/>
    <mergeCell ref="M4:N4"/>
    <mergeCell ref="M5:N5"/>
    <mergeCell ref="L51:N51"/>
    <mergeCell ref="I24:J24"/>
    <mergeCell ref="D3:G4"/>
    <mergeCell ref="L35:N35"/>
    <mergeCell ref="L37:N37"/>
    <mergeCell ref="I16:L16"/>
    <mergeCell ref="I17:J17"/>
    <mergeCell ref="K17:N17"/>
    <mergeCell ref="I33:K33"/>
    <mergeCell ref="M6:N6"/>
    <mergeCell ref="D5:H6"/>
    <mergeCell ref="J11:L11"/>
    <mergeCell ref="M8:N8"/>
    <mergeCell ref="I8:J8"/>
    <mergeCell ref="A9:N9"/>
    <mergeCell ref="M16:N16"/>
    <mergeCell ref="A22:H22"/>
    <mergeCell ref="F8:H8"/>
  </mergeCells>
  <phoneticPr fontId="2" type="noConversion"/>
  <conditionalFormatting sqref="K81:N81">
    <cfRule type="expression" dxfId="65" priority="4" stopIfTrue="1">
      <formula>$I$81=0</formula>
    </cfRule>
  </conditionalFormatting>
  <conditionalFormatting sqref="L83:N83">
    <cfRule type="expression" dxfId="64" priority="5" stopIfTrue="1">
      <formula>$I$83=0</formula>
    </cfRule>
  </conditionalFormatting>
  <conditionalFormatting sqref="L85:N85">
    <cfRule type="expression" dxfId="63" priority="6" stopIfTrue="1">
      <formula>$I$85=0</formula>
    </cfRule>
  </conditionalFormatting>
  <conditionalFormatting sqref="L87:N87">
    <cfRule type="expression" dxfId="62" priority="7" stopIfTrue="1">
      <formula>$I$87=0</formula>
    </cfRule>
  </conditionalFormatting>
  <conditionalFormatting sqref="F97:N97">
    <cfRule type="expression" dxfId="61" priority="8" stopIfTrue="1">
      <formula>$I$97=0</formula>
    </cfRule>
  </conditionalFormatting>
  <conditionalFormatting sqref="F99:N99">
    <cfRule type="expression" dxfId="60" priority="9" stopIfTrue="1">
      <formula>$I$99=0</formula>
    </cfRule>
  </conditionalFormatting>
  <conditionalFormatting sqref="F101:N101">
    <cfRule type="expression" dxfId="59" priority="10" stopIfTrue="1">
      <formula>$I$101=0</formula>
    </cfRule>
  </conditionalFormatting>
  <conditionalFormatting sqref="F103:N103">
    <cfRule type="expression" dxfId="58" priority="11" stopIfTrue="1">
      <formula>$I$103=0</formula>
    </cfRule>
  </conditionalFormatting>
  <conditionalFormatting sqref="A97:E97">
    <cfRule type="expression" dxfId="57" priority="12" stopIfTrue="1">
      <formula>$I$97=0</formula>
    </cfRule>
  </conditionalFormatting>
  <conditionalFormatting sqref="A99:E99">
    <cfRule type="expression" dxfId="56" priority="13" stopIfTrue="1">
      <formula>$I$99=0</formula>
    </cfRule>
  </conditionalFormatting>
  <conditionalFormatting sqref="A101:E101">
    <cfRule type="expression" dxfId="55" priority="14" stopIfTrue="1">
      <formula>$I$101=0</formula>
    </cfRule>
  </conditionalFormatting>
  <conditionalFormatting sqref="A103:E103">
    <cfRule type="expression" dxfId="54" priority="15" stopIfTrue="1">
      <formula>$I$103=0</formula>
    </cfRule>
  </conditionalFormatting>
  <conditionalFormatting sqref="I95:J95">
    <cfRule type="expression" dxfId="53" priority="16" stopIfTrue="1">
      <formula>$I$95=0</formula>
    </cfRule>
  </conditionalFormatting>
  <conditionalFormatting sqref="I79:J79">
    <cfRule type="expression" dxfId="52" priority="17" stopIfTrue="1">
      <formula>$I$79=0</formula>
    </cfRule>
  </conditionalFormatting>
  <conditionalFormatting sqref="F95:G95">
    <cfRule type="expression" dxfId="51" priority="18" stopIfTrue="1">
      <formula>$I$95=0</formula>
    </cfRule>
  </conditionalFormatting>
  <conditionalFormatting sqref="I83:J83 F83:G83">
    <cfRule type="expression" dxfId="50" priority="20" stopIfTrue="1">
      <formula>AND($I$83=0,$A$83="")</formula>
    </cfRule>
  </conditionalFormatting>
  <conditionalFormatting sqref="I85:J85 F85:G85">
    <cfRule type="expression" dxfId="49" priority="21" stopIfTrue="1">
      <formula>AND($I$85=0,$A$85="")</formula>
    </cfRule>
  </conditionalFormatting>
  <conditionalFormatting sqref="I87:J87 F87:G87">
    <cfRule type="expression" dxfId="48" priority="22" stopIfTrue="1">
      <formula>AND($I$87=0,$A$87="")</formula>
    </cfRule>
  </conditionalFormatting>
  <conditionalFormatting sqref="A87:E87">
    <cfRule type="expression" dxfId="47" priority="23" stopIfTrue="1">
      <formula>AND($I$87=0,$A$87="")</formula>
    </cfRule>
  </conditionalFormatting>
  <conditionalFormatting sqref="A85:E85">
    <cfRule type="expression" dxfId="46" priority="24" stopIfTrue="1">
      <formula>AND($I$85=0,$A$85="")</formula>
    </cfRule>
  </conditionalFormatting>
  <conditionalFormatting sqref="A83:E83">
    <cfRule type="expression" dxfId="45" priority="25" stopIfTrue="1">
      <formula>AND($I$83=0,$A$83="")</formula>
    </cfRule>
  </conditionalFormatting>
  <conditionalFormatting sqref="A81:E81">
    <cfRule type="expression" dxfId="44" priority="26" stopIfTrue="1">
      <formula>AND($I$81=0,$A$81="")</formula>
    </cfRule>
  </conditionalFormatting>
  <conditionalFormatting sqref="F79:G79">
    <cfRule type="expression" dxfId="43" priority="27" stopIfTrue="1">
      <formula>AND($I$79=0,$A$79="")</formula>
    </cfRule>
  </conditionalFormatting>
  <conditionalFormatting sqref="F81:G81">
    <cfRule type="expression" dxfId="42" priority="28" stopIfTrue="1">
      <formula>AND($I$81=0,$A$81="")</formula>
    </cfRule>
  </conditionalFormatting>
  <conditionalFormatting sqref="I81:J81">
    <cfRule type="expression" dxfId="41" priority="2" stopIfTrue="1">
      <formula>AND($I$81=0,$A$81="")</formula>
    </cfRule>
  </conditionalFormatting>
  <pageMargins left="0.75" right="0.75" top="0.5" bottom="0.4" header="0.5" footer="0.5"/>
  <pageSetup scale="98" orientation="portrait" r:id="rId1"/>
  <headerFooter alignWithMargins="0"/>
  <rowBreaks count="2" manualBreakCount="2">
    <brk id="69" max="13" man="1"/>
    <brk id="189" max="13" man="1"/>
  </rowBreaks>
  <drawing r:id="rId2"/>
  <legacyDrawing r:id="rId3"/>
  <mc:AlternateContent xmlns:mc="http://schemas.openxmlformats.org/markup-compatibility/2006">
    <mc:Choice Requires="x14">
      <controls>
        <mc:AlternateContent xmlns:mc="http://schemas.openxmlformats.org/markup-compatibility/2006">
          <mc:Choice Requires="x14">
            <control shapeId="7169" r:id="rId4" name="Check Box 1">
              <controlPr defaultSize="0" autoFill="0" autoLine="0" autoPict="0">
                <anchor moveWithCells="1">
                  <from>
                    <xdr:col>2</xdr:col>
                    <xdr:colOff>123825</xdr:colOff>
                    <xdr:row>10</xdr:row>
                    <xdr:rowOff>123825</xdr:rowOff>
                  </from>
                  <to>
                    <xdr:col>4</xdr:col>
                    <xdr:colOff>466725</xdr:colOff>
                    <xdr:row>12</xdr:row>
                    <xdr:rowOff>19050</xdr:rowOff>
                  </to>
                </anchor>
              </controlPr>
            </control>
          </mc:Choice>
        </mc:AlternateContent>
        <mc:AlternateContent xmlns:mc="http://schemas.openxmlformats.org/markup-compatibility/2006">
          <mc:Choice Requires="x14">
            <control shapeId="7170" r:id="rId5" name="Check Box 2">
              <controlPr defaultSize="0" autoFill="0" autoLine="0" autoPict="0">
                <anchor moveWithCells="1">
                  <from>
                    <xdr:col>3</xdr:col>
                    <xdr:colOff>133350</xdr:colOff>
                    <xdr:row>15</xdr:row>
                    <xdr:rowOff>0</xdr:rowOff>
                  </from>
                  <to>
                    <xdr:col>5</xdr:col>
                    <xdr:colOff>66675</xdr:colOff>
                    <xdr:row>16</xdr:row>
                    <xdr:rowOff>19050</xdr:rowOff>
                  </to>
                </anchor>
              </controlPr>
            </control>
          </mc:Choice>
        </mc:AlternateContent>
        <mc:AlternateContent xmlns:mc="http://schemas.openxmlformats.org/markup-compatibility/2006">
          <mc:Choice Requires="x14">
            <control shapeId="7171" r:id="rId6" name="Check Box 3">
              <controlPr defaultSize="0" autoFill="0" autoLine="0" autoPict="0">
                <anchor moveWithCells="1">
                  <from>
                    <xdr:col>3</xdr:col>
                    <xdr:colOff>133350</xdr:colOff>
                    <xdr:row>15</xdr:row>
                    <xdr:rowOff>190500</xdr:rowOff>
                  </from>
                  <to>
                    <xdr:col>5</xdr:col>
                    <xdr:colOff>47625</xdr:colOff>
                    <xdr:row>17</xdr:row>
                    <xdr:rowOff>47625</xdr:rowOff>
                  </to>
                </anchor>
              </controlPr>
            </control>
          </mc:Choice>
        </mc:AlternateContent>
        <mc:AlternateContent xmlns:mc="http://schemas.openxmlformats.org/markup-compatibility/2006">
          <mc:Choice Requires="x14">
            <control shapeId="7172" r:id="rId7" name="Check Box 4">
              <controlPr defaultSize="0" autoFill="0" autoLine="0" autoPict="0">
                <anchor moveWithCells="1">
                  <from>
                    <xdr:col>5</xdr:col>
                    <xdr:colOff>85725</xdr:colOff>
                    <xdr:row>14</xdr:row>
                    <xdr:rowOff>142875</xdr:rowOff>
                  </from>
                  <to>
                    <xdr:col>6</xdr:col>
                    <xdr:colOff>400050</xdr:colOff>
                    <xdr:row>16</xdr:row>
                    <xdr:rowOff>19050</xdr:rowOff>
                  </to>
                </anchor>
              </controlPr>
            </control>
          </mc:Choice>
        </mc:AlternateContent>
        <mc:AlternateContent xmlns:mc="http://schemas.openxmlformats.org/markup-compatibility/2006">
          <mc:Choice Requires="x14">
            <control shapeId="7173" r:id="rId8" name="Check Box 5">
              <controlPr defaultSize="0" autoFill="0" autoLine="0" autoPict="0">
                <anchor moveWithCells="1">
                  <from>
                    <xdr:col>4</xdr:col>
                    <xdr:colOff>9525</xdr:colOff>
                    <xdr:row>64</xdr:row>
                    <xdr:rowOff>57150</xdr:rowOff>
                  </from>
                  <to>
                    <xdr:col>4</xdr:col>
                    <xdr:colOff>314325</xdr:colOff>
                    <xdr:row>66</xdr:row>
                    <xdr:rowOff>47625</xdr:rowOff>
                  </to>
                </anchor>
              </controlPr>
            </control>
          </mc:Choice>
        </mc:AlternateContent>
        <mc:AlternateContent xmlns:mc="http://schemas.openxmlformats.org/markup-compatibility/2006">
          <mc:Choice Requires="x14">
            <control shapeId="7174" r:id="rId9" name="Check Box 6">
              <controlPr defaultSize="0" autoFill="0" autoLine="0" autoPict="0">
                <anchor moveWithCells="1">
                  <from>
                    <xdr:col>4</xdr:col>
                    <xdr:colOff>19050</xdr:colOff>
                    <xdr:row>66</xdr:row>
                    <xdr:rowOff>123825</xdr:rowOff>
                  </from>
                  <to>
                    <xdr:col>4</xdr:col>
                    <xdr:colOff>323850</xdr:colOff>
                    <xdr:row>68</xdr:row>
                    <xdr:rowOff>28575</xdr:rowOff>
                  </to>
                </anchor>
              </controlPr>
            </control>
          </mc:Choice>
        </mc:AlternateContent>
        <mc:AlternateContent xmlns:mc="http://schemas.openxmlformats.org/markup-compatibility/2006">
          <mc:Choice Requires="x14">
            <control shapeId="7175" r:id="rId10" name="Check Box 7">
              <controlPr defaultSize="0" autoFill="0" autoLine="0" autoPict="0">
                <anchor moveWithCells="1">
                  <from>
                    <xdr:col>2</xdr:col>
                    <xdr:colOff>123825</xdr:colOff>
                    <xdr:row>8</xdr:row>
                    <xdr:rowOff>133350</xdr:rowOff>
                  </from>
                  <to>
                    <xdr:col>4</xdr:col>
                    <xdr:colOff>561975</xdr:colOff>
                    <xdr:row>11</xdr:row>
                    <xdr:rowOff>28575</xdr:rowOff>
                  </to>
                </anchor>
              </controlPr>
            </control>
          </mc:Choice>
        </mc:AlternateContent>
        <mc:AlternateContent xmlns:mc="http://schemas.openxmlformats.org/markup-compatibility/2006">
          <mc:Choice Requires="x14">
            <control shapeId="7176" r:id="rId11" name="Check Box 8">
              <controlPr defaultSize="0" autoFill="0" autoLine="0" autoPict="0">
                <anchor moveWithCells="1">
                  <from>
                    <xdr:col>2</xdr:col>
                    <xdr:colOff>123825</xdr:colOff>
                    <xdr:row>11</xdr:row>
                    <xdr:rowOff>114300</xdr:rowOff>
                  </from>
                  <to>
                    <xdr:col>6</xdr:col>
                    <xdr:colOff>152400</xdr:colOff>
                    <xdr:row>13</xdr:row>
                    <xdr:rowOff>9525</xdr:rowOff>
                  </to>
                </anchor>
              </controlPr>
            </control>
          </mc:Choice>
        </mc:AlternateContent>
        <mc:AlternateContent xmlns:mc="http://schemas.openxmlformats.org/markup-compatibility/2006">
          <mc:Choice Requires="x14">
            <control shapeId="7177" r:id="rId12" name="Check Box 9">
              <controlPr defaultSize="0" autoFill="0" autoLine="0" autoPict="0">
                <anchor moveWithCells="1">
                  <from>
                    <xdr:col>6</xdr:col>
                    <xdr:colOff>276225</xdr:colOff>
                    <xdr:row>8</xdr:row>
                    <xdr:rowOff>133350</xdr:rowOff>
                  </from>
                  <to>
                    <xdr:col>8</xdr:col>
                    <xdr:colOff>238125</xdr:colOff>
                    <xdr:row>11</xdr:row>
                    <xdr:rowOff>28575</xdr:rowOff>
                  </to>
                </anchor>
              </controlPr>
            </control>
          </mc:Choice>
        </mc:AlternateContent>
        <mc:AlternateContent xmlns:mc="http://schemas.openxmlformats.org/markup-compatibility/2006">
          <mc:Choice Requires="x14">
            <control shapeId="7178" r:id="rId13" name="Check Box 10">
              <controlPr defaultSize="0" autoFill="0" autoLine="0" autoPict="0">
                <anchor moveWithCells="1">
                  <from>
                    <xdr:col>6</xdr:col>
                    <xdr:colOff>276225</xdr:colOff>
                    <xdr:row>11</xdr:row>
                    <xdr:rowOff>114300</xdr:rowOff>
                  </from>
                  <to>
                    <xdr:col>8</xdr:col>
                    <xdr:colOff>180975</xdr:colOff>
                    <xdr:row>13</xdr:row>
                    <xdr:rowOff>9525</xdr:rowOff>
                  </to>
                </anchor>
              </controlPr>
            </control>
          </mc:Choice>
        </mc:AlternateContent>
        <mc:AlternateContent xmlns:mc="http://schemas.openxmlformats.org/markup-compatibility/2006">
          <mc:Choice Requires="x14">
            <control shapeId="7179" r:id="rId14" name="Check Box 11">
              <controlPr defaultSize="0" autoFill="0" autoLine="0" autoPict="0">
                <anchor moveWithCells="1">
                  <from>
                    <xdr:col>5</xdr:col>
                    <xdr:colOff>85725</xdr:colOff>
                    <xdr:row>15</xdr:row>
                    <xdr:rowOff>161925</xdr:rowOff>
                  </from>
                  <to>
                    <xdr:col>6</xdr:col>
                    <xdr:colOff>123825</xdr:colOff>
                    <xdr:row>17</xdr:row>
                    <xdr:rowOff>19050</xdr:rowOff>
                  </to>
                </anchor>
              </controlPr>
            </control>
          </mc:Choice>
        </mc:AlternateContent>
        <mc:AlternateContent xmlns:mc="http://schemas.openxmlformats.org/markup-compatibility/2006">
          <mc:Choice Requires="x14">
            <control shapeId="7180" r:id="rId15" name="Check Box 12">
              <controlPr defaultSize="0" autoFill="0" autoLine="0" autoPict="0">
                <anchor moveWithCells="1">
                  <from>
                    <xdr:col>6</xdr:col>
                    <xdr:colOff>476250</xdr:colOff>
                    <xdr:row>15</xdr:row>
                    <xdr:rowOff>0</xdr:rowOff>
                  </from>
                  <to>
                    <xdr:col>7</xdr:col>
                    <xdr:colOff>428625</xdr:colOff>
                    <xdr:row>16</xdr:row>
                    <xdr:rowOff>19050</xdr:rowOff>
                  </to>
                </anchor>
              </controlPr>
            </control>
          </mc:Choice>
        </mc:AlternateContent>
        <mc:AlternateContent xmlns:mc="http://schemas.openxmlformats.org/markup-compatibility/2006">
          <mc:Choice Requires="x14">
            <control shapeId="7181" r:id="rId16" name="Check Box 13">
              <controlPr defaultSize="0" autoFill="0" autoLine="0" autoPict="0">
                <anchor moveWithCells="1">
                  <from>
                    <xdr:col>6</xdr:col>
                    <xdr:colOff>476250</xdr:colOff>
                    <xdr:row>16</xdr:row>
                    <xdr:rowOff>9525</xdr:rowOff>
                  </from>
                  <to>
                    <xdr:col>8</xdr:col>
                    <xdr:colOff>161925</xdr:colOff>
                    <xdr:row>17</xdr:row>
                    <xdr:rowOff>57150</xdr:rowOff>
                  </to>
                </anchor>
              </controlPr>
            </control>
          </mc:Choice>
        </mc:AlternateContent>
        <mc:AlternateContent xmlns:mc="http://schemas.openxmlformats.org/markup-compatibility/2006">
          <mc:Choice Requires="x14">
            <control shapeId="7184" r:id="rId17" name="Check Box 16">
              <controlPr defaultSize="0" autoFill="0" autoLine="0" autoPict="0" altText="SMALL BUSINESS Checkbox">
                <anchor moveWithCells="1">
                  <from>
                    <xdr:col>6</xdr:col>
                    <xdr:colOff>476250</xdr:colOff>
                    <xdr:row>17</xdr:row>
                    <xdr:rowOff>47625</xdr:rowOff>
                  </from>
                  <to>
                    <xdr:col>13</xdr:col>
                    <xdr:colOff>295275</xdr:colOff>
                    <xdr:row>19</xdr:row>
                    <xdr:rowOff>19050</xdr:rowOff>
                  </to>
                </anchor>
              </controlPr>
            </control>
          </mc:Choice>
        </mc:AlternateContent>
        <mc:AlternateContent xmlns:mc="http://schemas.openxmlformats.org/markup-compatibility/2006">
          <mc:Choice Requires="x14">
            <control shapeId="7186" r:id="rId18" name="Check Box 18">
              <controlPr defaultSize="0" autoFill="0" autoLine="0" autoPict="0" altText="Consolidated filer with 80% ownership of a Pass-Through Entity">
                <anchor moveWithCells="1">
                  <from>
                    <xdr:col>3</xdr:col>
                    <xdr:colOff>57150</xdr:colOff>
                    <xdr:row>13</xdr:row>
                    <xdr:rowOff>0</xdr:rowOff>
                  </from>
                  <to>
                    <xdr:col>11</xdr:col>
                    <xdr:colOff>190500</xdr:colOff>
                    <xdr:row>14</xdr:row>
                    <xdr:rowOff>28575</xdr:rowOff>
                  </to>
                </anchor>
              </controlPr>
            </control>
          </mc:Choice>
        </mc:AlternateContent>
        <mc:AlternateContent xmlns:mc="http://schemas.openxmlformats.org/markup-compatibility/2006">
          <mc:Choice Requires="x14">
            <control shapeId="7187" r:id="rId19" name="Check Box 19">
              <controlPr defaultSize="0" autoFill="0" autoLine="0" autoPict="0">
                <anchor moveWithCells="1">
                  <from>
                    <xdr:col>12</xdr:col>
                    <xdr:colOff>123825</xdr:colOff>
                    <xdr:row>8</xdr:row>
                    <xdr:rowOff>114300</xdr:rowOff>
                  </from>
                  <to>
                    <xdr:col>13</xdr:col>
                    <xdr:colOff>438150</xdr:colOff>
                    <xdr:row>11</xdr:row>
                    <xdr:rowOff>28575</xdr:rowOff>
                  </to>
                </anchor>
              </controlPr>
            </control>
          </mc:Choice>
        </mc:AlternateContent>
        <mc:AlternateContent xmlns:mc="http://schemas.openxmlformats.org/markup-compatibility/2006">
          <mc:Choice Requires="x14">
            <control shapeId="7188" r:id="rId20" name="Check Box 20">
              <controlPr defaultSize="0" autoFill="0" autoLine="0" autoPict="0">
                <anchor moveWithCells="1">
                  <from>
                    <xdr:col>6</xdr:col>
                    <xdr:colOff>276225</xdr:colOff>
                    <xdr:row>10</xdr:row>
                    <xdr:rowOff>133350</xdr:rowOff>
                  </from>
                  <to>
                    <xdr:col>8</xdr:col>
                    <xdr:colOff>142875</xdr:colOff>
                    <xdr:row>12</xdr:row>
                    <xdr:rowOff>19050</xdr:rowOff>
                  </to>
                </anchor>
              </controlPr>
            </control>
          </mc:Choice>
        </mc:AlternateContent>
        <mc:AlternateContent xmlns:mc="http://schemas.openxmlformats.org/markup-compatibility/2006">
          <mc:Choice Requires="x14">
            <control shapeId="7190" r:id="rId21" name="Check Box 22">
              <controlPr defaultSize="0" autoFill="0" autoLine="0" autoPict="0">
                <anchor moveWithCells="1">
                  <from>
                    <xdr:col>10</xdr:col>
                    <xdr:colOff>133350</xdr:colOff>
                    <xdr:row>38</xdr:row>
                    <xdr:rowOff>180975</xdr:rowOff>
                  </from>
                  <to>
                    <xdr:col>10</xdr:col>
                    <xdr:colOff>361950</xdr:colOff>
                    <xdr:row>40</xdr:row>
                    <xdr:rowOff>19050</xdr:rowOff>
                  </to>
                </anchor>
              </controlPr>
            </control>
          </mc:Choice>
        </mc:AlternateContent>
        <mc:AlternateContent xmlns:mc="http://schemas.openxmlformats.org/markup-compatibility/2006">
          <mc:Choice Requires="x14">
            <control shapeId="7191" r:id="rId22" name="Check Box 23">
              <controlPr defaultSize="0" autoFill="0" autoLine="0" autoPict="0">
                <anchor moveWithCells="1">
                  <from>
                    <xdr:col>6</xdr:col>
                    <xdr:colOff>485775</xdr:colOff>
                    <xdr:row>124</xdr:row>
                    <xdr:rowOff>104775</xdr:rowOff>
                  </from>
                  <to>
                    <xdr:col>7</xdr:col>
                    <xdr:colOff>228600</xdr:colOff>
                    <xdr:row>126</xdr:row>
                    <xdr:rowOff>28575</xdr:rowOff>
                  </to>
                </anchor>
              </controlPr>
            </control>
          </mc:Choice>
        </mc:AlternateContent>
        <mc:AlternateContent xmlns:mc="http://schemas.openxmlformats.org/markup-compatibility/2006">
          <mc:Choice Requires="x14">
            <control shapeId="7194" r:id="rId23" name="Check Box 26">
              <controlPr defaultSize="0" autoFill="0" autoLine="0" autoPict="0">
                <anchor moveWithCells="1">
                  <from>
                    <xdr:col>7</xdr:col>
                    <xdr:colOff>209550</xdr:colOff>
                    <xdr:row>124</xdr:row>
                    <xdr:rowOff>104775</xdr:rowOff>
                  </from>
                  <to>
                    <xdr:col>8</xdr:col>
                    <xdr:colOff>66675</xdr:colOff>
                    <xdr:row>126</xdr:row>
                    <xdr:rowOff>28575</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1" id="{117274BC-7891-4730-9F3A-2D567D072FEE}">
            <xm:f>'Complete This Page'!$B$110=TRUE</xm:f>
            <x14:dxf>
              <font>
                <color rgb="FFFF0000"/>
              </font>
            </x14:dxf>
          </x14:cfRule>
          <xm:sqref>L43:N43</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L123"/>
  <sheetViews>
    <sheetView showGridLines="0" zoomScaleNormal="100" workbookViewId="0">
      <selection activeCell="A8" sqref="A8:L8"/>
    </sheetView>
  </sheetViews>
  <sheetFormatPr defaultRowHeight="12.75" x14ac:dyDescent="0.2"/>
  <cols>
    <col min="1" max="1" width="3.7109375" customWidth="1"/>
    <col min="2" max="2" width="6.7109375" customWidth="1"/>
    <col min="3" max="6" width="10.7109375" customWidth="1"/>
    <col min="7" max="7" width="3.7109375" customWidth="1"/>
    <col min="8" max="8" width="7.7109375" customWidth="1"/>
    <col min="9" max="9" width="10.7109375" customWidth="1"/>
    <col min="10" max="10" width="3.7109375" customWidth="1"/>
    <col min="11" max="11" width="7.7109375" customWidth="1"/>
    <col min="12" max="12" width="10.7109375" customWidth="1"/>
  </cols>
  <sheetData>
    <row r="1" spans="1:12" ht="30" x14ac:dyDescent="0.4">
      <c r="A1" s="1372" t="s">
        <v>482</v>
      </c>
      <c r="B1" s="1373"/>
      <c r="C1" s="216">
        <v>27</v>
      </c>
      <c r="D1" s="1374" t="s">
        <v>465</v>
      </c>
      <c r="E1" s="1374"/>
      <c r="F1" s="1374"/>
      <c r="G1" s="1374"/>
      <c r="H1" s="1374"/>
      <c r="I1" s="1374"/>
      <c r="J1" s="1374"/>
      <c r="K1" s="1380">
        <f>IF('Complete This Page'!G11="",YEAR('Complete This Page'!H11),'Complete This Page'!G11)</f>
        <v>2018</v>
      </c>
      <c r="L1" s="1381"/>
    </row>
    <row r="2" spans="1:12" s="1" customFormat="1" ht="11.25" x14ac:dyDescent="0.2">
      <c r="A2" s="214" t="s">
        <v>159</v>
      </c>
      <c r="B2" s="215"/>
      <c r="C2" s="217"/>
      <c r="D2" s="1375"/>
      <c r="E2" s="1375"/>
      <c r="F2" s="1375"/>
      <c r="G2" s="1375"/>
      <c r="H2" s="1375"/>
      <c r="I2" s="1375"/>
      <c r="J2" s="1375"/>
      <c r="K2" s="1382" t="str">
        <f>+'Complete This Page'!J1</f>
        <v>NPAC v2018.0</v>
      </c>
      <c r="L2" s="1383"/>
    </row>
    <row r="3" spans="1:12" x14ac:dyDescent="0.2">
      <c r="A3" s="1" t="s">
        <v>467</v>
      </c>
      <c r="B3" s="61"/>
      <c r="C3" s="61"/>
      <c r="D3" s="61"/>
      <c r="E3" s="61"/>
      <c r="F3" s="61"/>
      <c r="G3" s="61"/>
      <c r="H3" s="61"/>
      <c r="I3" s="213"/>
      <c r="J3" s="1" t="s">
        <v>466</v>
      </c>
      <c r="K3" s="1"/>
      <c r="L3" s="1"/>
    </row>
    <row r="4" spans="1:12" ht="18" x14ac:dyDescent="0.25">
      <c r="A4" s="25"/>
      <c r="B4" s="1377">
        <f>+'Complete This Page'!B3</f>
        <v>0</v>
      </c>
      <c r="C4" s="1377"/>
      <c r="D4" s="1377"/>
      <c r="E4" s="1377"/>
      <c r="F4" s="1377"/>
      <c r="G4" s="1377"/>
      <c r="H4" s="1377"/>
      <c r="I4" s="1378"/>
      <c r="J4" s="1350">
        <f>'Complete This Page'!G3</f>
        <v>0</v>
      </c>
      <c r="K4" s="1351"/>
      <c r="L4" s="1351"/>
    </row>
    <row r="6" spans="1:12" ht="15.75" x14ac:dyDescent="0.25">
      <c r="A6" s="1379" t="s">
        <v>14</v>
      </c>
      <c r="B6" s="1379"/>
      <c r="C6" s="223" t="s">
        <v>476</v>
      </c>
      <c r="D6" s="223"/>
      <c r="E6" s="187"/>
      <c r="F6" s="187"/>
      <c r="G6" s="187"/>
      <c r="H6" s="187"/>
      <c r="I6" s="187"/>
      <c r="J6" s="187"/>
      <c r="K6" s="187"/>
      <c r="L6" s="187"/>
    </row>
    <row r="7" spans="1:12" ht="6.75" customHeight="1" x14ac:dyDescent="0.2">
      <c r="A7" s="222"/>
      <c r="B7" s="222"/>
      <c r="C7" s="222"/>
      <c r="D7" s="222"/>
      <c r="E7" s="222"/>
      <c r="F7" s="222"/>
      <c r="G7" s="222"/>
      <c r="H7" s="222"/>
      <c r="I7" s="222"/>
      <c r="J7" s="222"/>
      <c r="K7" s="222"/>
      <c r="L7" s="222"/>
    </row>
    <row r="8" spans="1:12" ht="27" customHeight="1" x14ac:dyDescent="0.2">
      <c r="A8" s="1376" t="str">
        <f>+'Complete This Page'!B96</f>
        <v/>
      </c>
      <c r="B8" s="1376"/>
      <c r="C8" s="1376"/>
      <c r="D8" s="1376"/>
      <c r="E8" s="1376"/>
      <c r="F8" s="1376"/>
      <c r="G8" s="1376"/>
      <c r="H8" s="1376"/>
      <c r="I8" s="1376"/>
      <c r="J8" s="1376"/>
      <c r="K8" s="1376"/>
      <c r="L8" s="1376"/>
    </row>
    <row r="10" spans="1:12" x14ac:dyDescent="0.2">
      <c r="A10" s="1088" t="s">
        <v>475</v>
      </c>
      <c r="B10" s="1352"/>
      <c r="C10" s="1089"/>
      <c r="D10" s="1097" t="s">
        <v>2</v>
      </c>
      <c r="E10" s="1097"/>
      <c r="F10" s="1097"/>
      <c r="G10" s="1097"/>
      <c r="H10" s="1097"/>
      <c r="I10" s="1097"/>
      <c r="J10" s="1097"/>
      <c r="K10" s="1097"/>
      <c r="L10" s="1353" t="s">
        <v>1</v>
      </c>
    </row>
    <row r="11" spans="1:12" x14ac:dyDescent="0.2">
      <c r="A11" s="1356" t="s">
        <v>473</v>
      </c>
      <c r="B11" s="1357"/>
      <c r="C11" s="1358"/>
      <c r="D11" s="35">
        <f>+'Complete This Page'!D98</f>
        <v>2013</v>
      </c>
      <c r="E11" s="35">
        <f>+'Complete This Page'!E98</f>
        <v>2014</v>
      </c>
      <c r="F11" s="35">
        <f>+'Complete This Page'!F98</f>
        <v>2015</v>
      </c>
      <c r="G11" s="1015">
        <f>+'Complete This Page'!G98</f>
        <v>2016</v>
      </c>
      <c r="H11" s="1016"/>
      <c r="I11" s="35">
        <f>+'Complete This Page'!H98</f>
        <v>2017</v>
      </c>
      <c r="J11" s="1015" t="s">
        <v>330</v>
      </c>
      <c r="K11" s="1016"/>
      <c r="L11" s="1037"/>
    </row>
    <row r="12" spans="1:12" x14ac:dyDescent="0.2">
      <c r="A12" s="1359" t="str">
        <f>+'Complete This Page'!B99</f>
        <v/>
      </c>
      <c r="B12" s="1360"/>
      <c r="C12" s="1361"/>
      <c r="D12" s="82">
        <f>IF('Complete This Page'!D99="",0,'Complete This Page'!D99)</f>
        <v>0</v>
      </c>
      <c r="E12" s="82">
        <f>IF('Complete This Page'!E99="",0,'Complete This Page'!E99)</f>
        <v>0</v>
      </c>
      <c r="F12" s="82">
        <f>IF('Complete This Page'!F99="",0,'Complete This Page'!F99)</f>
        <v>0</v>
      </c>
      <c r="G12" s="1186">
        <f>IF('Complete This Page'!G99="",0,'Complete This Page'!G99)</f>
        <v>0</v>
      </c>
      <c r="H12" s="1187"/>
      <c r="I12" s="82">
        <f>IF('Complete This Page'!H99="",0,'Complete This Page'!H99)</f>
        <v>0</v>
      </c>
      <c r="J12" s="1354">
        <f>0</f>
        <v>0</v>
      </c>
      <c r="K12" s="1355"/>
      <c r="L12" s="37">
        <f>IF(Data!C33=0,0,IF(Data!C33=3,SUM(F12:K12),IF(Data!C33=1,I12,SUM(D12:K12))))</f>
        <v>0</v>
      </c>
    </row>
    <row r="13" spans="1:12" x14ac:dyDescent="0.2">
      <c r="A13" s="1359" t="str">
        <f>+'Complete This Page'!B100</f>
        <v/>
      </c>
      <c r="B13" s="1360"/>
      <c r="C13" s="1361"/>
      <c r="D13" s="82">
        <f>IF('Complete This Page'!D100="",0,'Complete This Page'!D100)</f>
        <v>0</v>
      </c>
      <c r="E13" s="82">
        <f>IF('Complete This Page'!E100="",0,'Complete This Page'!E100)</f>
        <v>0</v>
      </c>
      <c r="F13" s="82">
        <f>IF('Complete This Page'!F100="",0,'Complete This Page'!F100)</f>
        <v>0</v>
      </c>
      <c r="G13" s="1186">
        <f>IF('Complete This Page'!G100="",0,'Complete This Page'!G100)</f>
        <v>0</v>
      </c>
      <c r="H13" s="1187"/>
      <c r="I13" s="82">
        <f>IF('Complete This Page'!H100="",0,'Complete This Page'!H100)</f>
        <v>0</v>
      </c>
      <c r="J13" s="1354">
        <f>0</f>
        <v>0</v>
      </c>
      <c r="K13" s="1355"/>
      <c r="L13" s="37">
        <f>IF(Data!C34=0,0,IF(Data!C34=3,SUM(F13:K13),IF(Data!C34=1,I13,SUM(D13:K13))))</f>
        <v>0</v>
      </c>
    </row>
    <row r="14" spans="1:12" x14ac:dyDescent="0.2">
      <c r="A14" s="1359" t="str">
        <f>+'Complete This Page'!B101</f>
        <v/>
      </c>
      <c r="B14" s="1360"/>
      <c r="C14" s="1361"/>
      <c r="D14" s="82">
        <f>IF('Complete This Page'!D101="",0,'Complete This Page'!D101)</f>
        <v>0</v>
      </c>
      <c r="E14" s="82">
        <f>IF('Complete This Page'!E101="",0,'Complete This Page'!E101)</f>
        <v>0</v>
      </c>
      <c r="F14" s="82">
        <f>IF('Complete This Page'!F101="",0,'Complete This Page'!F101)</f>
        <v>0</v>
      </c>
      <c r="G14" s="1186">
        <f>IF('Complete This Page'!G101="",0,'Complete This Page'!G101)</f>
        <v>0</v>
      </c>
      <c r="H14" s="1187"/>
      <c r="I14" s="82">
        <f>IF('Complete This Page'!H101="",0,'Complete This Page'!H101)</f>
        <v>0</v>
      </c>
      <c r="J14" s="1354">
        <f>0</f>
        <v>0</v>
      </c>
      <c r="K14" s="1355"/>
      <c r="L14" s="37">
        <f>IF(Data!C35=0,0,IF(Data!C35=3,SUM(F14:K14),IF(Data!C35=1,I14,SUM(D14:K14))))</f>
        <v>0</v>
      </c>
    </row>
    <row r="15" spans="1:12" x14ac:dyDescent="0.2">
      <c r="A15" s="1359" t="str">
        <f>+'Complete This Page'!B102</f>
        <v/>
      </c>
      <c r="B15" s="1360"/>
      <c r="C15" s="1361"/>
      <c r="D15" s="82">
        <f>IF('Complete This Page'!D102="",0,'Complete This Page'!D102)</f>
        <v>0</v>
      </c>
      <c r="E15" s="82">
        <f>IF('Complete This Page'!E102="",0,'Complete This Page'!E102)</f>
        <v>0</v>
      </c>
      <c r="F15" s="82">
        <f>IF('Complete This Page'!F102="",0,'Complete This Page'!F102)</f>
        <v>0</v>
      </c>
      <c r="G15" s="1186">
        <f>IF('Complete This Page'!G102="",0,'Complete This Page'!G102)</f>
        <v>0</v>
      </c>
      <c r="H15" s="1187"/>
      <c r="I15" s="82">
        <f>IF('Complete This Page'!H102="",0,'Complete This Page'!H102)</f>
        <v>0</v>
      </c>
      <c r="J15" s="1354">
        <f>0</f>
        <v>0</v>
      </c>
      <c r="K15" s="1355"/>
      <c r="L15" s="37">
        <f>IF(Data!C36=0,0,IF(Data!C36=3,SUM(F15:K15),IF(Data!C36=1,I15,SUM(D15:K15))))</f>
        <v>0</v>
      </c>
    </row>
    <row r="16" spans="1:12" x14ac:dyDescent="0.2">
      <c r="A16" s="1359" t="str">
        <f>+'Complete This Page'!B103</f>
        <v/>
      </c>
      <c r="B16" s="1360"/>
      <c r="C16" s="1361"/>
      <c r="D16" s="82">
        <f>IF('Complete This Page'!D103="",0,'Complete This Page'!D103)</f>
        <v>0</v>
      </c>
      <c r="E16" s="82">
        <f>IF('Complete This Page'!E103="",0,'Complete This Page'!E103)</f>
        <v>0</v>
      </c>
      <c r="F16" s="82">
        <f>IF('Complete This Page'!F103="",0,'Complete This Page'!F103)</f>
        <v>0</v>
      </c>
      <c r="G16" s="1186">
        <f>IF('Complete This Page'!G103="",0,'Complete This Page'!G103)</f>
        <v>0</v>
      </c>
      <c r="H16" s="1187"/>
      <c r="I16" s="82">
        <f>IF('Complete This Page'!H103="",0,'Complete This Page'!H103)</f>
        <v>0</v>
      </c>
      <c r="J16" s="1354">
        <f>0</f>
        <v>0</v>
      </c>
      <c r="K16" s="1355"/>
      <c r="L16" s="37">
        <f>IF(Data!C37=0,0,IF(Data!C37=3,SUM(F16:K16),IF(Data!C37=1,I16,SUM(D16:K16))))</f>
        <v>0</v>
      </c>
    </row>
    <row r="17" spans="1:12" x14ac:dyDescent="0.2">
      <c r="A17" s="1362" t="s">
        <v>1715</v>
      </c>
      <c r="B17" s="1363"/>
      <c r="C17" s="1364"/>
      <c r="D17" s="82">
        <f>IF('Complete This Page'!D108="",0,'Complete This Page'!D108)</f>
        <v>0</v>
      </c>
      <c r="E17" s="82">
        <f>IF('Complete This Page'!E108="",0,'Complete This Page'!E108)</f>
        <v>0</v>
      </c>
      <c r="F17" s="82">
        <f>IF('Complete This Page'!F108="",0,'Complete This Page'!F108)</f>
        <v>0</v>
      </c>
      <c r="G17" s="1186">
        <f>IF('Complete This Page'!G108="",0,'Complete This Page'!G108)</f>
        <v>0</v>
      </c>
      <c r="H17" s="1187"/>
      <c r="I17" s="82">
        <f>IF('Complete This Page'!H108="",0,'Complete This Page'!H108)</f>
        <v>0</v>
      </c>
      <c r="J17" s="1186"/>
      <c r="K17" s="1187"/>
      <c r="L17" s="37">
        <f>'Complete This Page'!J108</f>
        <v>0</v>
      </c>
    </row>
    <row r="19" spans="1:12" ht="25.5" customHeight="1" x14ac:dyDescent="0.2">
      <c r="A19" s="1412" t="str">
        <f>CONCATENATE("Municipal Net Operating Losses Used in Tax Year ",K1)</f>
        <v>Municipal Net Operating Losses Used in Tax Year 2018</v>
      </c>
      <c r="B19" s="1412"/>
      <c r="C19" s="1412"/>
      <c r="D19" s="1412"/>
      <c r="E19" s="877" t="str">
        <f>+A12</f>
        <v/>
      </c>
      <c r="F19" s="877" t="str">
        <f>+A13</f>
        <v/>
      </c>
      <c r="G19" s="1394" t="str">
        <f>+A14</f>
        <v/>
      </c>
      <c r="H19" s="1395"/>
      <c r="I19" s="877" t="str">
        <f>+A15</f>
        <v/>
      </c>
      <c r="J19" s="1394" t="str">
        <f>+A16</f>
        <v/>
      </c>
      <c r="K19" s="1395"/>
      <c r="L19" s="221" t="s">
        <v>1255</v>
      </c>
    </row>
    <row r="20" spans="1:12" x14ac:dyDescent="0.2">
      <c r="A20" s="1413" t="s">
        <v>1716</v>
      </c>
      <c r="B20" s="1413"/>
      <c r="C20" s="1413"/>
      <c r="D20" s="1413"/>
      <c r="E20" s="220">
        <f>+Data!E273</f>
        <v>0</v>
      </c>
      <c r="F20" s="220">
        <f>+Data!E274</f>
        <v>0</v>
      </c>
      <c r="G20" s="1396">
        <f>+Data!E275</f>
        <v>0</v>
      </c>
      <c r="H20" s="1021"/>
      <c r="I20" s="220">
        <f>+Data!E276</f>
        <v>0</v>
      </c>
      <c r="J20" s="1397">
        <f>+Data!E277</f>
        <v>0</v>
      </c>
      <c r="K20" s="1398"/>
      <c r="L20" s="220">
        <f>SUM(E20:K20)</f>
        <v>0</v>
      </c>
    </row>
    <row r="21" spans="1:12" x14ac:dyDescent="0.2">
      <c r="A21" s="1365" t="str">
        <f>CONCATENATE("Pre-apportioned NOL used in ", K1)</f>
        <v>Pre-apportioned NOL used in 2018</v>
      </c>
      <c r="B21" s="1366"/>
      <c r="C21" s="1366"/>
      <c r="D21" s="1367"/>
      <c r="E21" s="1367"/>
      <c r="F21" s="1367"/>
      <c r="G21" s="1367"/>
      <c r="H21" s="1367"/>
      <c r="I21" s="1367"/>
      <c r="J21" s="1367"/>
      <c r="K21" s="986"/>
      <c r="L21" s="37">
        <f>'Complete This Page'!K108</f>
        <v>0</v>
      </c>
    </row>
    <row r="23" spans="1:12" x14ac:dyDescent="0.2">
      <c r="A23" s="1088" t="s">
        <v>475</v>
      </c>
      <c r="B23" s="1352"/>
      <c r="C23" s="1089"/>
      <c r="D23" s="1097" t="s">
        <v>2</v>
      </c>
      <c r="E23" s="1097"/>
      <c r="F23" s="1097"/>
      <c r="G23" s="1097"/>
      <c r="H23" s="1097"/>
      <c r="I23" s="1097"/>
      <c r="J23" s="1097"/>
      <c r="K23" s="1097"/>
      <c r="L23" s="1353" t="s">
        <v>1</v>
      </c>
    </row>
    <row r="24" spans="1:12" x14ac:dyDescent="0.2">
      <c r="A24" s="1356" t="s">
        <v>474</v>
      </c>
      <c r="B24" s="1357"/>
      <c r="C24" s="1358"/>
      <c r="D24" s="35">
        <f>+D11</f>
        <v>2013</v>
      </c>
      <c r="E24" s="35">
        <f>+E11</f>
        <v>2014</v>
      </c>
      <c r="F24" s="35">
        <f>+F11</f>
        <v>2015</v>
      </c>
      <c r="G24" s="1015">
        <f>+G11</f>
        <v>2016</v>
      </c>
      <c r="H24" s="1016"/>
      <c r="I24" s="35">
        <f>+I11</f>
        <v>2017</v>
      </c>
      <c r="J24" s="1015" t="s">
        <v>330</v>
      </c>
      <c r="K24" s="1016"/>
      <c r="L24" s="1037"/>
    </row>
    <row r="25" spans="1:12" x14ac:dyDescent="0.2">
      <c r="A25" s="1359" t="str">
        <f>+'Complete This Page'!B99</f>
        <v/>
      </c>
      <c r="B25" s="1360"/>
      <c r="C25" s="1361"/>
      <c r="D25" s="82">
        <f>IF($L25-SUM(E25:$K25)=0,0,IF(D12&lt;$L25-SUM(E25:$K25),D12,$L25-SUM(E25:$K25)))</f>
        <v>0</v>
      </c>
      <c r="E25" s="82">
        <f>IF($L25-SUM(F25:$K25)=0,0,IF(E12&lt;$L25-SUM(F25:$K25),E12,$L25-SUM(F25:$K25)))</f>
        <v>0</v>
      </c>
      <c r="F25" s="82">
        <f>IF($L25-SUM(G25:$K25)=0,0,IF(F12&lt;$L25-SUM(G25:$K25),F12,$L25-SUM(G25:$K25)))</f>
        <v>0</v>
      </c>
      <c r="G25" s="1186">
        <f>IF($L25-SUM(I25:$K25)=0,0,IF(G12&lt;$L25-SUM(I25:$K25),G12,$L25-SUM(I25:$K25)))</f>
        <v>0</v>
      </c>
      <c r="H25" s="1187">
        <f>IF($L25-SUM(I25:$K25)=0,0,IF(H12&lt;$L25-SUM(I25:$K25),H12,$L25-SUM(I25:$K25)))</f>
        <v>0</v>
      </c>
      <c r="I25" s="82">
        <f>IF($L25-SUM(J25:$K25)=0,0,IF(I12&lt;$L25-SUM(J25:$K25),I12,$L25-SUM(J25:$K25)))</f>
        <v>0</v>
      </c>
      <c r="J25" s="1354">
        <f>IF(J12&lt;L25,J12,L25)</f>
        <v>0</v>
      </c>
      <c r="K25" s="1355"/>
      <c r="L25" s="37">
        <f>+L12-E20</f>
        <v>0</v>
      </c>
    </row>
    <row r="26" spans="1:12" x14ac:dyDescent="0.2">
      <c r="A26" s="1359" t="str">
        <f>+'Complete This Page'!B100</f>
        <v/>
      </c>
      <c r="B26" s="1360"/>
      <c r="C26" s="1361"/>
      <c r="D26" s="82">
        <f>IF($L26-SUM(E26:$K26)=0,0,IF(D13&lt;$L26-SUM(E26:$K26),D13,$L26-SUM(E26:$K26)))</f>
        <v>0</v>
      </c>
      <c r="E26" s="82">
        <f>IF($L26-SUM(F26:$K26)=0,0,IF(E13&lt;$L26-SUM(F26:$K26),E13,$L26-SUM(F26:$K26)))</f>
        <v>0</v>
      </c>
      <c r="F26" s="82">
        <f>IF($L26-SUM(G26:$K26)=0,0,IF(F13&lt;$L26-SUM(G26:$K26),F13,$L26-SUM(G26:$K26)))</f>
        <v>0</v>
      </c>
      <c r="G26" s="1186">
        <f>IF($L26-SUM(I26:$K26)=0,0,IF(G13&lt;$L26-SUM(I26:$K26),G13,$L26-SUM(I26:$K26)))</f>
        <v>0</v>
      </c>
      <c r="H26" s="1187">
        <f>IF($L26-SUM(I26:$K26)=0,0,IF(H13&lt;$L26-SUM(I26:$K26),H13,$L26-SUM(I26:$K26)))</f>
        <v>0</v>
      </c>
      <c r="I26" s="82">
        <f>IF($L26-SUM(J26:$K26)=0,0,IF(I13&lt;$L26-SUM(J26:$K26),I13,$L26-SUM(J26:$K26)))</f>
        <v>0</v>
      </c>
      <c r="J26" s="1354">
        <f>IF(J13&lt;L26,J13,L26)</f>
        <v>0</v>
      </c>
      <c r="K26" s="1355"/>
      <c r="L26" s="37">
        <f>+L13-F20</f>
        <v>0</v>
      </c>
    </row>
    <row r="27" spans="1:12" x14ac:dyDescent="0.2">
      <c r="A27" s="1359" t="str">
        <f>+'Complete This Page'!B101</f>
        <v/>
      </c>
      <c r="B27" s="1360"/>
      <c r="C27" s="1361"/>
      <c r="D27" s="82">
        <f>IF($L27-SUM(E27:$K27)=0,0,IF(D14&lt;$L27-SUM(E27:$K27),D14,$L27-SUM(E27:$K27)))</f>
        <v>0</v>
      </c>
      <c r="E27" s="82">
        <f>IF($L27-SUM(F27:$K27)=0,0,IF(E14&lt;$L27-SUM(F27:$K27),E14,$L27-SUM(F27:$K27)))</f>
        <v>0</v>
      </c>
      <c r="F27" s="82">
        <f>IF($L27-SUM(G27:$K27)=0,0,IF(F14&lt;$L27-SUM(G27:$K27),F14,$L27-SUM(G27:$K27)))</f>
        <v>0</v>
      </c>
      <c r="G27" s="1186">
        <f>IF($L27-SUM(I27:$K27)=0,0,IF(G14&lt;$L27-SUM(I27:$K27),G14,$L27-SUM(I27:$K27)))</f>
        <v>0</v>
      </c>
      <c r="H27" s="1187">
        <f>IF($L27-SUM(I27:$K27)=0,0,IF(H14&lt;$L27-SUM(I27:$K27),H14,$L27-SUM(I27:$K27)))</f>
        <v>0</v>
      </c>
      <c r="I27" s="82">
        <f>IF($L27-SUM(J27:$K27)=0,0,IF(I14&lt;$L27-SUM(J27:$K27),I14,$L27-SUM(J27:$K27)))</f>
        <v>0</v>
      </c>
      <c r="J27" s="1354">
        <f>IF(J14&lt;L27,J14,L27)</f>
        <v>0</v>
      </c>
      <c r="K27" s="1355"/>
      <c r="L27" s="37">
        <f>+L14-G20</f>
        <v>0</v>
      </c>
    </row>
    <row r="28" spans="1:12" x14ac:dyDescent="0.2">
      <c r="A28" s="1359" t="str">
        <f>+'Complete This Page'!B102</f>
        <v/>
      </c>
      <c r="B28" s="1360"/>
      <c r="C28" s="1361"/>
      <c r="D28" s="82">
        <f>IF($L28-SUM(E28:$K28)=0,0,IF(D15&lt;$L28-SUM(E28:$K28),D15,$L28-SUM(E28:$K28)))</f>
        <v>0</v>
      </c>
      <c r="E28" s="82">
        <f>IF($L28-SUM(F28:$K28)=0,0,IF(E15&lt;$L28-SUM(F28:$K28),E15,$L28-SUM(F28:$K28)))</f>
        <v>0</v>
      </c>
      <c r="F28" s="82">
        <f>IF($L28-SUM(G28:$K28)=0,0,IF(F15&lt;$L28-SUM(G28:$K28),F15,$L28-SUM(G28:$K28)))</f>
        <v>0</v>
      </c>
      <c r="G28" s="1186">
        <f>IF($L28-SUM(I28:$K28)=0,0,IF(G15&lt;$L28-SUM(I28:$K28),G15,$L28-SUM(I28:$K28)))</f>
        <v>0</v>
      </c>
      <c r="H28" s="1187">
        <f>IF($L28-SUM(I28:$K28)=0,0,IF(H15&lt;$L28-SUM(I28:$K28),H15,$L28-SUM(I28:$K28)))</f>
        <v>0</v>
      </c>
      <c r="I28" s="82">
        <f>IF($L28-SUM(J28:$K28)=0,0,IF(I15&lt;$L28-SUM(J28:$K28),I15,$L28-SUM(J28:$K28)))</f>
        <v>0</v>
      </c>
      <c r="J28" s="1354">
        <f>IF(J15&lt;L28,J15,L28)</f>
        <v>0</v>
      </c>
      <c r="K28" s="1355"/>
      <c r="L28" s="37">
        <f>+L15-I20</f>
        <v>0</v>
      </c>
    </row>
    <row r="29" spans="1:12" x14ac:dyDescent="0.2">
      <c r="A29" s="1359" t="str">
        <f>+'Complete This Page'!B103</f>
        <v/>
      </c>
      <c r="B29" s="1360"/>
      <c r="C29" s="1361"/>
      <c r="D29" s="82">
        <f>IF($L29-SUM(E29:$K29)=0,0,IF(D16&lt;$L29-SUM(E29:$K29),D16,$L29-SUM(E29:$K29)))</f>
        <v>0</v>
      </c>
      <c r="E29" s="82">
        <f>IF($L29-SUM(F29:$K29)=0,0,IF(E16&lt;$L29-SUM(F29:$K29),E16,$L29-SUM(F29:$K29)))</f>
        <v>0</v>
      </c>
      <c r="F29" s="82">
        <f>IF($L29-SUM(G29:$K29)=0,0,IF(F16&lt;$L29-SUM(G29:$K29),F16,$L29-SUM(G29:$K29)))</f>
        <v>0</v>
      </c>
      <c r="G29" s="1186">
        <f>IF($L29-SUM(I29:$K29)=0,0,IF(G16&lt;$L29-SUM(I29:$K29),G16,$L29-SUM(I29:$K29)))</f>
        <v>0</v>
      </c>
      <c r="H29" s="1187">
        <f>IF($L29-SUM(I29:$K29)=0,0,IF(H16&lt;$L29-SUM(I29:$K29),H16,$L29-SUM(I29:$K29)))</f>
        <v>0</v>
      </c>
      <c r="I29" s="82">
        <f>IF($L29-SUM(J29:$K29)=0,0,IF(I16&lt;$L29-SUM(J29:$K29),I16,$L29-SUM(J29:$K29)))</f>
        <v>0</v>
      </c>
      <c r="J29" s="1354">
        <f>IF(J16&lt;L29,J16,L29)</f>
        <v>0</v>
      </c>
      <c r="K29" s="1355"/>
      <c r="L29" s="37">
        <f>+L16-J20</f>
        <v>0</v>
      </c>
    </row>
    <row r="30" spans="1:12" x14ac:dyDescent="0.2">
      <c r="A30" s="1368" t="s">
        <v>1718</v>
      </c>
      <c r="B30" s="1369"/>
      <c r="C30" s="1369"/>
      <c r="D30" s="1370"/>
      <c r="E30" s="1370"/>
      <c r="F30" s="1370"/>
      <c r="G30" s="1370"/>
      <c r="H30" s="1370"/>
      <c r="I30" s="1370"/>
      <c r="J30" s="1370"/>
      <c r="K30" s="1371"/>
      <c r="L30" s="37">
        <f>SUM(L25:L29)</f>
        <v>0</v>
      </c>
    </row>
    <row r="31" spans="1:12" x14ac:dyDescent="0.2">
      <c r="A31" s="1368" t="s">
        <v>1717</v>
      </c>
      <c r="B31" s="1369"/>
      <c r="C31" s="1369"/>
      <c r="D31" s="1370"/>
      <c r="E31" s="1370"/>
      <c r="F31" s="1370"/>
      <c r="G31" s="1370"/>
      <c r="H31" s="1370"/>
      <c r="I31" s="1370"/>
      <c r="J31" s="1370"/>
      <c r="K31" s="1371"/>
      <c r="L31" s="37">
        <f>IF(L17-L21&gt;0,L17-L21,0)</f>
        <v>0</v>
      </c>
    </row>
    <row r="33" spans="1:12" ht="15.75" x14ac:dyDescent="0.25">
      <c r="A33" s="1379" t="s">
        <v>1014</v>
      </c>
      <c r="B33" s="1379"/>
      <c r="C33" s="223" t="s">
        <v>477</v>
      </c>
      <c r="D33" s="223"/>
      <c r="E33" s="187"/>
      <c r="F33" s="187"/>
      <c r="G33" s="187"/>
      <c r="H33" s="187"/>
      <c r="I33" s="187"/>
      <c r="J33" s="187"/>
      <c r="K33" s="187"/>
      <c r="L33" s="229" t="str">
        <f>IF(Data!F9=TRUE,"C Corp","")</f>
        <v/>
      </c>
    </row>
    <row r="35" spans="1:12" ht="38.1" customHeight="1" x14ac:dyDescent="0.2">
      <c r="A35" s="1399" t="s">
        <v>119</v>
      </c>
      <c r="B35" s="1399"/>
      <c r="C35" s="1399"/>
      <c r="D35" s="1399"/>
      <c r="E35" s="1399"/>
      <c r="F35" s="1399"/>
      <c r="G35" s="1399"/>
      <c r="H35" s="1399"/>
      <c r="I35" s="1399"/>
      <c r="J35" s="1399"/>
      <c r="K35" s="1399"/>
      <c r="L35" s="1399"/>
    </row>
    <row r="37" spans="1:12" x14ac:dyDescent="0.2">
      <c r="A37" s="1088" t="s">
        <v>380</v>
      </c>
      <c r="B37" s="1352"/>
      <c r="C37" s="1089"/>
      <c r="D37" s="1097" t="s">
        <v>478</v>
      </c>
      <c r="E37" s="1097"/>
      <c r="F37" s="1097"/>
      <c r="G37" s="1097"/>
      <c r="H37" s="1097"/>
      <c r="I37" s="1097"/>
      <c r="J37" s="1097"/>
      <c r="K37" s="1097"/>
      <c r="L37" s="1353" t="s">
        <v>1</v>
      </c>
    </row>
    <row r="38" spans="1:12" x14ac:dyDescent="0.2">
      <c r="A38" s="1356" t="s">
        <v>473</v>
      </c>
      <c r="B38" s="1357"/>
      <c r="C38" s="1358"/>
      <c r="D38" s="35">
        <f>+D11</f>
        <v>2013</v>
      </c>
      <c r="E38" s="35">
        <f>+E11</f>
        <v>2014</v>
      </c>
      <c r="F38" s="35">
        <f>+F11</f>
        <v>2015</v>
      </c>
      <c r="G38" s="1015">
        <f>+G11</f>
        <v>2016</v>
      </c>
      <c r="H38" s="1016"/>
      <c r="I38" s="35">
        <f>+I11</f>
        <v>2017</v>
      </c>
      <c r="J38" s="1015" t="s">
        <v>330</v>
      </c>
      <c r="K38" s="1016"/>
      <c r="L38" s="1037"/>
    </row>
    <row r="39" spans="1:12" x14ac:dyDescent="0.2">
      <c r="A39" s="1384" t="str">
        <f>+'Fed Carryovers'!A7</f>
        <v>Charitable Contributions</v>
      </c>
      <c r="B39" s="1385"/>
      <c r="C39" s="1386"/>
      <c r="D39" s="82">
        <f>+'Fed Carryovers'!C7</f>
        <v>0</v>
      </c>
      <c r="E39" s="82">
        <f>+'Fed Carryovers'!D7</f>
        <v>0</v>
      </c>
      <c r="F39" s="82">
        <f>+'Fed Carryovers'!E7</f>
        <v>0</v>
      </c>
      <c r="G39" s="1186">
        <f>+'Fed Carryovers'!F7</f>
        <v>0</v>
      </c>
      <c r="H39" s="1187"/>
      <c r="I39" s="82">
        <f>+'Fed Carryovers'!G7</f>
        <v>0</v>
      </c>
      <c r="J39" s="1186">
        <f>+'Fed Carryovers'!H7</f>
        <v>0</v>
      </c>
      <c r="K39" s="1187"/>
      <c r="L39" s="37">
        <f>SUM(D39:K39)</f>
        <v>0</v>
      </c>
    </row>
    <row r="40" spans="1:12" x14ac:dyDescent="0.2">
      <c r="A40" s="1387" t="str">
        <f>+'Fed Carryovers'!A8</f>
        <v>Capital Loss Carryovers</v>
      </c>
      <c r="B40" s="1385"/>
      <c r="C40" s="1386"/>
      <c r="D40" s="82">
        <f>+'Fed Carryovers'!C8</f>
        <v>0</v>
      </c>
      <c r="E40" s="82">
        <f>+'Fed Carryovers'!D8</f>
        <v>0</v>
      </c>
      <c r="F40" s="82">
        <f>+'Fed Carryovers'!E8</f>
        <v>0</v>
      </c>
      <c r="G40" s="1186">
        <f>+'Fed Carryovers'!F8</f>
        <v>0</v>
      </c>
      <c r="H40" s="1187"/>
      <c r="I40" s="82">
        <f>+'Fed Carryovers'!G8</f>
        <v>0</v>
      </c>
      <c r="J40" s="1186">
        <f>+K69</f>
        <v>0</v>
      </c>
      <c r="K40" s="1187"/>
      <c r="L40" s="37">
        <f>SUM(D40:K40)</f>
        <v>0</v>
      </c>
    </row>
    <row r="41" spans="1:12" x14ac:dyDescent="0.2">
      <c r="A41" s="1387" t="str">
        <f>+'Fed Carryovers'!A9</f>
        <v>Unrecovered §1231 Losses</v>
      </c>
      <c r="B41" s="1385"/>
      <c r="C41" s="1386"/>
      <c r="D41" s="82">
        <f>+'Fed Carryovers'!C9</f>
        <v>0</v>
      </c>
      <c r="E41" s="82">
        <f>+'Fed Carryovers'!D9</f>
        <v>0</v>
      </c>
      <c r="F41" s="82">
        <f>+'Fed Carryovers'!E9</f>
        <v>0</v>
      </c>
      <c r="G41" s="1186">
        <f>+'Fed Carryovers'!F9</f>
        <v>0</v>
      </c>
      <c r="H41" s="1187"/>
      <c r="I41" s="82">
        <f>+'Fed Carryovers'!G9</f>
        <v>0</v>
      </c>
      <c r="J41" s="1186">
        <f>IF('Complete This Page'!I50&lt;0,-'Complete This Page'!I50,0)</f>
        <v>0</v>
      </c>
      <c r="K41" s="1187"/>
      <c r="L41" s="37">
        <f>SUM(D41:K41)</f>
        <v>0</v>
      </c>
    </row>
    <row r="42" spans="1:12" x14ac:dyDescent="0.2">
      <c r="A42" s="1387" t="str">
        <f>+'Fed Carryovers'!A10</f>
        <v>Federal Net Operating Losses</v>
      </c>
      <c r="B42" s="1385"/>
      <c r="C42" s="1386"/>
      <c r="D42" s="82">
        <f>+'Fed Carryovers'!C10</f>
        <v>0</v>
      </c>
      <c r="E42" s="82">
        <f>+'Fed Carryovers'!D10</f>
        <v>0</v>
      </c>
      <c r="F42" s="82">
        <f>+'Fed Carryovers'!E10</f>
        <v>0</v>
      </c>
      <c r="G42" s="1186">
        <f>+'Fed Carryovers'!F10</f>
        <v>0</v>
      </c>
      <c r="H42" s="1187"/>
      <c r="I42" s="82">
        <f>+'Fed Carryovers'!G10</f>
        <v>0</v>
      </c>
      <c r="J42" s="1186">
        <f>IF(K90&lt;0,-K90,0)</f>
        <v>0</v>
      </c>
      <c r="K42" s="1187"/>
      <c r="L42" s="37">
        <f>SUM(D42:K42)</f>
        <v>0</v>
      </c>
    </row>
    <row r="43" spans="1:12" x14ac:dyDescent="0.2">
      <c r="A43" s="1387" t="str">
        <f>+'Fed Carryovers'!A11</f>
        <v>Section 179</v>
      </c>
      <c r="B43" s="1385"/>
      <c r="C43" s="1386"/>
      <c r="D43" s="82">
        <f>+'Fed Carryovers'!C11</f>
        <v>0</v>
      </c>
      <c r="E43" s="82">
        <f>+'Fed Carryovers'!D11</f>
        <v>0</v>
      </c>
      <c r="F43" s="82">
        <f>+'Fed Carryovers'!E11</f>
        <v>0</v>
      </c>
      <c r="G43" s="1186">
        <f>+'Fed Carryovers'!F11</f>
        <v>0</v>
      </c>
      <c r="H43" s="1187"/>
      <c r="I43" s="82">
        <f>+'Fed Carryovers'!G11</f>
        <v>0</v>
      </c>
      <c r="J43" s="1186">
        <f>+H71-K77</f>
        <v>0</v>
      </c>
      <c r="K43" s="1187"/>
      <c r="L43" s="37">
        <f>SUM(D43:K43)</f>
        <v>0</v>
      </c>
    </row>
    <row r="45" spans="1:12" x14ac:dyDescent="0.2">
      <c r="A45" s="1088" t="s">
        <v>380</v>
      </c>
      <c r="B45" s="1352"/>
      <c r="C45" s="1089"/>
      <c r="D45" s="1097" t="s">
        <v>478</v>
      </c>
      <c r="E45" s="1097"/>
      <c r="F45" s="1097"/>
      <c r="G45" s="1097"/>
      <c r="H45" s="1097"/>
      <c r="I45" s="1097"/>
      <c r="J45" s="1097"/>
      <c r="K45" s="1097"/>
      <c r="L45" s="1353" t="s">
        <v>1</v>
      </c>
    </row>
    <row r="46" spans="1:12" x14ac:dyDescent="0.2">
      <c r="A46" s="1356" t="s">
        <v>474</v>
      </c>
      <c r="B46" s="1357"/>
      <c r="C46" s="1358"/>
      <c r="D46" s="35">
        <f>+D11</f>
        <v>2013</v>
      </c>
      <c r="E46" s="35">
        <f>+E11</f>
        <v>2014</v>
      </c>
      <c r="F46" s="35">
        <f>+F11</f>
        <v>2015</v>
      </c>
      <c r="G46" s="1015">
        <f>+G11</f>
        <v>2016</v>
      </c>
      <c r="H46" s="1016"/>
      <c r="I46" s="35">
        <f>+I11</f>
        <v>2017</v>
      </c>
      <c r="J46" s="1015" t="s">
        <v>330</v>
      </c>
      <c r="K46" s="1016"/>
      <c r="L46" s="1037"/>
    </row>
    <row r="47" spans="1:12" x14ac:dyDescent="0.2">
      <c r="A47" s="1384" t="str">
        <f>+A39</f>
        <v>Charitable Contributions</v>
      </c>
      <c r="B47" s="1385"/>
      <c r="C47" s="1386"/>
      <c r="D47" s="82">
        <f>IF($L47-SUM(E47:$K47)=0,0,IF(D39&lt;$L47-SUM(E47:$K47),D39,$L47-SUM(E47:$K47)))</f>
        <v>0</v>
      </c>
      <c r="E47" s="82">
        <f>IF($L47-SUM(F47:$K47)=0,0,IF(E39&lt;$L47-SUM(F47:$K47),E39,$L47-SUM(F47:$K47)))</f>
        <v>0</v>
      </c>
      <c r="F47" s="82">
        <f>IF($L47-SUM(G47:$K47)=0,0,IF(F39&lt;$L47-SUM(G47:$K47),F39,$L47-SUM(G47:$K47)))</f>
        <v>0</v>
      </c>
      <c r="G47" s="1186">
        <f>IF($L47-SUM(I47:$K47)=0,0,IF(G39&lt;$L47-SUM(I47:$K47),G39,L47-SUM(I47:$K47)))</f>
        <v>0</v>
      </c>
      <c r="H47" s="1187"/>
      <c r="I47" s="82">
        <f>IF($L47-SUM(J47:$K47)=0,0,IF(I39&lt;$L47-SUM(J47:$K47),I39,L47-SUM(J47:$K47)))</f>
        <v>0</v>
      </c>
      <c r="J47" s="1186">
        <f>IF(J39&lt;L47,J39,L47)</f>
        <v>0</v>
      </c>
      <c r="K47" s="1187"/>
      <c r="L47" s="37">
        <f>+L39-K89</f>
        <v>0</v>
      </c>
    </row>
    <row r="48" spans="1:12" x14ac:dyDescent="0.2">
      <c r="A48" s="1384" t="str">
        <f>+A40</f>
        <v>Capital Loss Carryovers</v>
      </c>
      <c r="B48" s="1385"/>
      <c r="C48" s="1386"/>
      <c r="D48" s="82">
        <f>IF($L48-SUM(E48:$K48)=0,0,IF(D40&lt;$L48-SUM(E48:$K48),D40,$L48-SUM(E48:$K48)))</f>
        <v>0</v>
      </c>
      <c r="E48" s="82">
        <f>IF($L48-SUM(F48:$K48)=0,0,IF(E40&lt;$L48-SUM(F48:$K48),E40,$L48-SUM(F48:$K48)))</f>
        <v>0</v>
      </c>
      <c r="F48" s="82">
        <f>IF($L48-SUM(G48:$K48)=0,0,IF(F40&lt;$L48-SUM(G48:$K48),F40,$L48-SUM(G48:$K48)))</f>
        <v>0</v>
      </c>
      <c r="G48" s="1186">
        <f>IF($L48-SUM(I48:$K48)=0,0,IF(G40&lt;$L48-SUM(I48:$K48),G40,L48-SUM(I48:$K48)))</f>
        <v>0</v>
      </c>
      <c r="H48" s="1187"/>
      <c r="I48" s="82">
        <f>IF($L48-SUM(J48:$K48)=0,0,IF(I40&lt;$L48-SUM(J48:$K48),I40,L48-SUM(J48:$K48)))</f>
        <v>0</v>
      </c>
      <c r="J48" s="1186">
        <f>IF(J40&lt;L48,J40,L48)</f>
        <v>0</v>
      </c>
      <c r="K48" s="1187"/>
      <c r="L48" s="37">
        <f>+L40-K106</f>
        <v>0</v>
      </c>
    </row>
    <row r="49" spans="1:12" x14ac:dyDescent="0.2">
      <c r="A49" s="1384" t="str">
        <f>+A41</f>
        <v>Unrecovered §1231 Losses</v>
      </c>
      <c r="B49" s="1385"/>
      <c r="C49" s="1386"/>
      <c r="D49" s="82">
        <f>IF($L49-SUM(E49:$K49)=0,0,IF(D41&lt;$L49-SUM(E49:$K49),D41,$L49-SUM(E49:$K49)))</f>
        <v>0</v>
      </c>
      <c r="E49" s="82">
        <f>IF($L49-SUM(F49:$K49)=0,0,IF(E41&lt;$L49-SUM(F49:$K49),E41,$L49-SUM(F49:$K49)))</f>
        <v>0</v>
      </c>
      <c r="F49" s="82">
        <f>IF($L49-SUM(G49:$K49)=0,0,IF(F41&lt;$L49-SUM(G49:$K49),F41,$L49-SUM(G49:$K49)))</f>
        <v>0</v>
      </c>
      <c r="G49" s="1186">
        <f>IF($L49-SUM(I49:$K49)=0,0,IF(G41&lt;$L49-SUM(I49:$K49),G41,L49-SUM(I49:$K49)))</f>
        <v>0</v>
      </c>
      <c r="H49" s="1187"/>
      <c r="I49" s="82">
        <f>IF($L49-SUM(J49:$K49)=0,0,IF(I41&lt;$L49-SUM(J49:$K49),I41,L49-SUM(J49:$K49)))</f>
        <v>0</v>
      </c>
      <c r="J49" s="1186">
        <f>IF(J41&lt;L49,J41,L49)</f>
        <v>0</v>
      </c>
      <c r="K49" s="1187"/>
      <c r="L49" s="37">
        <f>+L41-H98</f>
        <v>0</v>
      </c>
    </row>
    <row r="50" spans="1:12" x14ac:dyDescent="0.2">
      <c r="A50" s="1384" t="str">
        <f>+A42</f>
        <v>Federal Net Operating Losses</v>
      </c>
      <c r="B50" s="1385"/>
      <c r="C50" s="1386"/>
      <c r="D50" s="82">
        <f>IF($L50-SUM(E50:$K50)=0,0,IF(D42&lt;$L50-SUM(E50:$K50),D42,$L50-SUM(E50:$K50)))</f>
        <v>0</v>
      </c>
      <c r="E50" s="82">
        <f>IF($L50-SUM(F50:$K50)=0,0,IF(E42&lt;$L50-SUM(F50:$K50),E42,$L50-SUM(F50:$K50)))</f>
        <v>0</v>
      </c>
      <c r="F50" s="82">
        <f>IF($L50-SUM(G50:$K50)=0,0,IF(F42&lt;$L50-SUM(G50:$K50),F42,$L50-SUM(G50:$K50)))</f>
        <v>0</v>
      </c>
      <c r="G50" s="1186">
        <f>IF($L50-SUM(I50:$K50)=0,0,IF(G42&lt;$L50-SUM(I50:$K50),G42,L50-SUM(I50:$K50)))</f>
        <v>0</v>
      </c>
      <c r="H50" s="1187"/>
      <c r="I50" s="82">
        <f>IF($L50-SUM(J50:$K50)=0,0,IF(I42&lt;$L50-SUM(J50:$K50),I42,L50-SUM(J50:$K50)))</f>
        <v>0</v>
      </c>
      <c r="J50" s="1186">
        <f>+J42</f>
        <v>0</v>
      </c>
      <c r="K50" s="1187"/>
      <c r="L50" s="37">
        <f>+L42-K84</f>
        <v>0</v>
      </c>
    </row>
    <row r="51" spans="1:12" x14ac:dyDescent="0.2">
      <c r="A51" s="1384" t="str">
        <f>+A43</f>
        <v>Section 179</v>
      </c>
      <c r="B51" s="1385"/>
      <c r="C51" s="1386"/>
      <c r="D51" s="82">
        <f>IF($L51-SUM(E51:$K51)=0,0,IF(D43&lt;$L51-SUM(E51:$K51),D43,$L51-SUM(E51:$K51)))</f>
        <v>0</v>
      </c>
      <c r="E51" s="82">
        <f>IF($L51-SUM(F51:$K51)=0,0,IF(E43&lt;$L51-SUM(F51:$K51),E43,$L51-SUM(F51:$K51)))</f>
        <v>0</v>
      </c>
      <c r="F51" s="82">
        <f>IF($L51-SUM(G51:$K51)=0,0,IF(F43&lt;$L51-SUM(G51:$K51),F43,$L51-SUM(G51:$K51)))</f>
        <v>0</v>
      </c>
      <c r="G51" s="1186">
        <f>IF($L51-SUM(I51:$K51)=0,0,IF(G43&lt;$L51-SUM(I51:$K51),G43,L51-SUM(I51:$K51)))</f>
        <v>0</v>
      </c>
      <c r="H51" s="1187"/>
      <c r="I51" s="82">
        <f>IF($L51-SUM(J51:$K51)=0,0,IF(I43&lt;$L51-SUM(J51:$K51),I43,L51-SUM(J51:$K51)))</f>
        <v>0</v>
      </c>
      <c r="J51" s="1186">
        <f>+J43</f>
        <v>0</v>
      </c>
      <c r="K51" s="1187"/>
      <c r="L51" s="37">
        <f>+L43-K80</f>
        <v>0</v>
      </c>
    </row>
    <row r="54" spans="1:12" ht="26.1" customHeight="1" x14ac:dyDescent="0.4">
      <c r="A54" s="1372" t="s">
        <v>482</v>
      </c>
      <c r="B54" s="1373"/>
      <c r="C54" s="216">
        <v>27</v>
      </c>
      <c r="D54" s="1374" t="s">
        <v>465</v>
      </c>
      <c r="E54" s="1374"/>
      <c r="F54" s="1374"/>
      <c r="G54" s="1374"/>
      <c r="H54" s="1374"/>
      <c r="I54" s="1374"/>
      <c r="J54" s="1374"/>
      <c r="K54" s="1380">
        <f>+K1</f>
        <v>2018</v>
      </c>
      <c r="L54" s="1381"/>
    </row>
    <row r="55" spans="1:12" x14ac:dyDescent="0.2">
      <c r="A55" s="214" t="s">
        <v>159</v>
      </c>
      <c r="B55" s="215"/>
      <c r="C55" s="217"/>
      <c r="D55" s="1375"/>
      <c r="E55" s="1375"/>
      <c r="F55" s="1375"/>
      <c r="G55" s="1375"/>
      <c r="H55" s="1375"/>
      <c r="I55" s="1375"/>
      <c r="J55" s="1375"/>
      <c r="K55" s="1382" t="str">
        <f>+'Complete This Page'!J1</f>
        <v>NPAC v2018.0</v>
      </c>
      <c r="L55" s="1383"/>
    </row>
    <row r="56" spans="1:12" x14ac:dyDescent="0.2">
      <c r="A56" s="1" t="s">
        <v>467</v>
      </c>
      <c r="B56" s="199"/>
      <c r="C56" s="199"/>
      <c r="D56" s="199"/>
      <c r="E56" s="199"/>
      <c r="F56" s="199"/>
      <c r="G56" s="199"/>
      <c r="H56" s="199"/>
      <c r="I56" s="200"/>
      <c r="J56" s="1" t="s">
        <v>466</v>
      </c>
      <c r="K56" s="1"/>
      <c r="L56" s="1"/>
    </row>
    <row r="57" spans="1:12" ht="18" x14ac:dyDescent="0.25">
      <c r="A57" s="25"/>
      <c r="B57" s="1377">
        <f>+B4</f>
        <v>0</v>
      </c>
      <c r="C57" s="1377"/>
      <c r="D57" s="1377"/>
      <c r="E57" s="1377"/>
      <c r="F57" s="1377"/>
      <c r="G57" s="1377"/>
      <c r="H57" s="1377"/>
      <c r="I57" s="1378"/>
      <c r="J57" s="1350">
        <f>+J4</f>
        <v>0</v>
      </c>
      <c r="K57" s="1351"/>
      <c r="L57" s="1351"/>
    </row>
    <row r="58" spans="1:12" ht="15.75" x14ac:dyDescent="0.25">
      <c r="A58" s="1379" t="s">
        <v>1081</v>
      </c>
      <c r="B58" s="1379"/>
      <c r="C58" s="201" t="s">
        <v>481</v>
      </c>
      <c r="D58" s="201"/>
      <c r="E58" s="173"/>
      <c r="F58" s="173"/>
      <c r="G58" s="173"/>
      <c r="H58" s="173"/>
      <c r="I58" s="173"/>
      <c r="J58" s="173"/>
      <c r="K58" s="173"/>
      <c r="L58" s="173"/>
    </row>
    <row r="59" spans="1:12" x14ac:dyDescent="0.2">
      <c r="A59" s="1406" t="s">
        <v>1199</v>
      </c>
      <c r="B59" s="1406"/>
      <c r="C59" s="1406"/>
      <c r="D59" s="1406"/>
      <c r="E59" s="1406"/>
      <c r="F59" s="1406"/>
      <c r="G59" s="1406"/>
      <c r="H59" s="1406"/>
      <c r="I59" s="1406"/>
      <c r="J59" s="1406"/>
      <c r="K59" s="1406"/>
      <c r="L59" s="1406"/>
    </row>
    <row r="60" spans="1:12" x14ac:dyDescent="0.2">
      <c r="A60" s="1405" t="s">
        <v>472</v>
      </c>
      <c r="B60" s="1405"/>
      <c r="C60" s="1405"/>
      <c r="D60" s="1405"/>
      <c r="E60" s="1405"/>
      <c r="F60" s="1405"/>
      <c r="G60" s="1405"/>
      <c r="H60" s="1405"/>
      <c r="I60" s="1405"/>
      <c r="J60" s="1405"/>
      <c r="K60" s="1405"/>
      <c r="L60" s="1405"/>
    </row>
    <row r="61" spans="1:12" x14ac:dyDescent="0.2">
      <c r="A61" s="218">
        <v>1</v>
      </c>
      <c r="B61" s="172" t="s">
        <v>1431</v>
      </c>
      <c r="C61" s="172"/>
      <c r="D61" s="173"/>
      <c r="E61" s="173"/>
      <c r="F61" s="173"/>
      <c r="G61" s="173"/>
      <c r="H61" s="174"/>
      <c r="I61" s="175"/>
      <c r="J61" s="212">
        <f>+A61</f>
        <v>1</v>
      </c>
      <c r="K61" s="1407">
        <f>+'Fed Carryovers'!H21</f>
        <v>0</v>
      </c>
      <c r="L61" s="1407"/>
    </row>
    <row r="62" spans="1:12" x14ac:dyDescent="0.2">
      <c r="A62" s="218">
        <f>+A61+1</f>
        <v>2</v>
      </c>
      <c r="B62" s="172" t="s">
        <v>1290</v>
      </c>
      <c r="C62" s="172"/>
      <c r="D62" s="173"/>
      <c r="E62" s="173"/>
      <c r="F62" s="173"/>
      <c r="G62" s="46">
        <f>+A62</f>
        <v>2</v>
      </c>
      <c r="H62" s="1407">
        <f>+'Fed Carryovers'!F22</f>
        <v>0</v>
      </c>
      <c r="I62" s="1425"/>
      <c r="J62" s="202"/>
      <c r="K62" s="179"/>
      <c r="L62" s="180"/>
    </row>
    <row r="63" spans="1:12" x14ac:dyDescent="0.2">
      <c r="A63" s="218">
        <f t="shared" ref="A63:A85" si="0">+A62+1</f>
        <v>3</v>
      </c>
      <c r="B63" s="172" t="s">
        <v>1288</v>
      </c>
      <c r="C63" s="172"/>
      <c r="D63" s="173"/>
      <c r="E63" s="173"/>
      <c r="F63" s="173"/>
      <c r="G63" s="46">
        <f>+A63</f>
        <v>3</v>
      </c>
      <c r="H63" s="1407">
        <f>+'Fed Carryovers'!F23</f>
        <v>0</v>
      </c>
      <c r="I63" s="1425"/>
      <c r="J63" s="203"/>
      <c r="K63" s="181"/>
      <c r="L63" s="182"/>
    </row>
    <row r="64" spans="1:12" x14ac:dyDescent="0.2">
      <c r="A64" s="218">
        <f t="shared" si="0"/>
        <v>4</v>
      </c>
      <c r="B64" s="172" t="s">
        <v>1289</v>
      </c>
      <c r="C64" s="172"/>
      <c r="D64" s="173"/>
      <c r="E64" s="173"/>
      <c r="F64" s="173"/>
      <c r="G64" s="46">
        <f>+A64</f>
        <v>4</v>
      </c>
      <c r="H64" s="1407">
        <f>+'Fed Carryovers'!F24</f>
        <v>0</v>
      </c>
      <c r="I64" s="1425"/>
      <c r="J64" s="203"/>
      <c r="K64" s="181"/>
      <c r="L64" s="182"/>
    </row>
    <row r="65" spans="1:12" ht="13.5" thickBot="1" x14ac:dyDescent="0.25">
      <c r="A65" s="218">
        <f t="shared" si="0"/>
        <v>5</v>
      </c>
      <c r="B65" s="172" t="str">
        <f>CONCATENATE("Deductions not permitted by §718.01(A)(1)(g). Combine lines ",A62," - ",A64)</f>
        <v>Deductions not permitted by §718.01(A)(1)(g). Combine lines 2 - 4</v>
      </c>
      <c r="C65" s="172"/>
      <c r="D65" s="173"/>
      <c r="E65" s="173"/>
      <c r="F65" s="173"/>
      <c r="G65" s="173"/>
      <c r="H65" s="174"/>
      <c r="I65" s="175"/>
      <c r="J65" s="190"/>
      <c r="K65" s="1390">
        <f>SUM(H62:I64)</f>
        <v>0</v>
      </c>
      <c r="L65" s="1391"/>
    </row>
    <row r="66" spans="1:12" x14ac:dyDescent="0.2">
      <c r="A66" s="218">
        <f t="shared" si="0"/>
        <v>6</v>
      </c>
      <c r="B66" s="172" t="str">
        <f>CONCATENATE("Combine lines ",A61," and ",A65)</f>
        <v>Combine lines 1 and 5</v>
      </c>
      <c r="C66" s="172"/>
      <c r="D66" s="173"/>
      <c r="E66" s="173"/>
      <c r="F66" s="173"/>
      <c r="G66" s="173"/>
      <c r="H66" s="174"/>
      <c r="I66" s="175"/>
      <c r="J66" s="212">
        <f>+A66</f>
        <v>6</v>
      </c>
      <c r="K66" s="1392">
        <f>+K61+K65</f>
        <v>0</v>
      </c>
      <c r="L66" s="1393"/>
    </row>
    <row r="67" spans="1:12" ht="13.5" thickBot="1" x14ac:dyDescent="0.25">
      <c r="A67" s="218">
        <f t="shared" si="0"/>
        <v>7</v>
      </c>
      <c r="B67" s="186" t="str">
        <f>CONCATENATE("Allowable prior year capital losses.  Enter the amount from line ",A106)</f>
        <v>Allowable prior year capital losses.  Enter the amount from line 38</v>
      </c>
      <c r="C67" s="186"/>
      <c r="D67" s="187"/>
      <c r="E67" s="187"/>
      <c r="F67" s="187"/>
      <c r="G67" s="187"/>
      <c r="H67" s="177"/>
      <c r="I67" s="188"/>
      <c r="J67" s="212">
        <f>+A67</f>
        <v>7</v>
      </c>
      <c r="K67" s="1402">
        <f>+K106</f>
        <v>0</v>
      </c>
      <c r="L67" s="1403"/>
    </row>
    <row r="68" spans="1:12" x14ac:dyDescent="0.2">
      <c r="A68" s="218">
        <f t="shared" si="0"/>
        <v>8</v>
      </c>
      <c r="B68" s="172" t="str">
        <f>CONCATENATE("Subtract line ",A67," from ",A66)</f>
        <v>Subtract line 7 from 6</v>
      </c>
      <c r="C68" s="172"/>
      <c r="D68" s="187"/>
      <c r="E68" s="187"/>
      <c r="F68" s="187"/>
      <c r="G68" s="187"/>
      <c r="H68" s="177"/>
      <c r="I68" s="188"/>
      <c r="J68" s="212">
        <f>+A68</f>
        <v>8</v>
      </c>
      <c r="K68" s="1400">
        <f>+K66-K67</f>
        <v>0</v>
      </c>
      <c r="L68" s="1401"/>
    </row>
    <row r="69" spans="1:12" ht="13.5" thickBot="1" x14ac:dyDescent="0.25">
      <c r="A69" s="218">
        <f t="shared" si="0"/>
        <v>9</v>
      </c>
      <c r="B69" s="186" t="str">
        <f>CONCATENATE("Capital losses in excess of capital gains.  Enter the amount from line ",A109)</f>
        <v>Capital losses in excess of capital gains.  Enter the amount from line 40</v>
      </c>
      <c r="C69" s="186"/>
      <c r="D69" s="187"/>
      <c r="E69" s="187"/>
      <c r="F69" s="187"/>
      <c r="G69" s="187"/>
      <c r="H69" s="177"/>
      <c r="I69" s="178"/>
      <c r="J69" s="212">
        <f>+A69</f>
        <v>9</v>
      </c>
      <c r="K69" s="1402">
        <f>+K109</f>
        <v>0</v>
      </c>
      <c r="L69" s="1403"/>
    </row>
    <row r="70" spans="1:12" x14ac:dyDescent="0.2">
      <c r="A70" s="218">
        <f t="shared" si="0"/>
        <v>10</v>
      </c>
      <c r="B70" s="172" t="str">
        <f>CONCATENATE("Add line ",A69," from ",A68)</f>
        <v>Add line 9 from 8</v>
      </c>
      <c r="C70" s="172"/>
      <c r="D70" s="173"/>
      <c r="E70" s="173"/>
      <c r="F70" s="173"/>
      <c r="G70" s="173"/>
      <c r="H70" s="174"/>
      <c r="I70" s="175"/>
      <c r="J70" s="212">
        <f>+A70</f>
        <v>10</v>
      </c>
      <c r="K70" s="1404">
        <f>+K68+K69</f>
        <v>0</v>
      </c>
      <c r="L70" s="1404"/>
    </row>
    <row r="71" spans="1:12" x14ac:dyDescent="0.2">
      <c r="A71" s="218">
        <f>+A70+1</f>
        <v>11</v>
      </c>
      <c r="B71" s="172" t="s">
        <v>522</v>
      </c>
      <c r="C71" s="172"/>
      <c r="D71" s="173"/>
      <c r="E71" s="173"/>
      <c r="F71" s="173"/>
      <c r="G71" s="46">
        <f>+A71</f>
        <v>11</v>
      </c>
      <c r="H71" s="1407">
        <f>+'Fed Carryovers'!F31</f>
        <v>0</v>
      </c>
      <c r="I71" s="1425"/>
      <c r="J71" s="202"/>
      <c r="K71" s="179"/>
      <c r="L71" s="180"/>
    </row>
    <row r="72" spans="1:12" x14ac:dyDescent="0.2">
      <c r="A72" s="218">
        <f t="shared" si="0"/>
        <v>12</v>
      </c>
      <c r="B72" s="172" t="s">
        <v>521</v>
      </c>
      <c r="C72" s="172"/>
      <c r="D72" s="173"/>
      <c r="E72" s="173"/>
      <c r="F72" s="173"/>
      <c r="G72" s="46">
        <f>+A72</f>
        <v>12</v>
      </c>
      <c r="H72" s="1407">
        <f>+'Fed Carryovers'!F32</f>
        <v>0</v>
      </c>
      <c r="I72" s="1425"/>
      <c r="J72" s="203"/>
      <c r="K72" s="181"/>
      <c r="L72" s="182"/>
    </row>
    <row r="73" spans="1:12" ht="13.5" thickBot="1" x14ac:dyDescent="0.25">
      <c r="A73" s="218">
        <f t="shared" si="0"/>
        <v>13</v>
      </c>
      <c r="B73" s="172" t="str">
        <f>CONCATENATE("Combine lines ",A71," and ",A72)</f>
        <v>Combine lines 11 and 12</v>
      </c>
      <c r="C73" s="172"/>
      <c r="D73" s="187"/>
      <c r="E73" s="187"/>
      <c r="F73" s="187"/>
      <c r="G73" s="187"/>
      <c r="H73" s="177"/>
      <c r="I73" s="178"/>
      <c r="J73" s="212">
        <f>+A73</f>
        <v>13</v>
      </c>
      <c r="K73" s="1390">
        <f>SUM(H71:I72)</f>
        <v>0</v>
      </c>
      <c r="L73" s="1391"/>
    </row>
    <row r="74" spans="1:12" x14ac:dyDescent="0.2">
      <c r="A74" s="218">
        <f t="shared" si="0"/>
        <v>14</v>
      </c>
      <c r="B74" s="172" t="str">
        <f>CONCATENATE("'C-Corp' Income before contributions, §179, and NOL. Add lines ",A70," and ",A73)</f>
        <v>'C-Corp' Income before contributions, §179, and NOL. Add lines 10 and 13</v>
      </c>
      <c r="C74" s="172"/>
      <c r="D74" s="187"/>
      <c r="E74" s="187"/>
      <c r="F74" s="187"/>
      <c r="G74" s="187"/>
      <c r="H74" s="177"/>
      <c r="I74" s="178"/>
      <c r="J74" s="212">
        <f>+A74</f>
        <v>14</v>
      </c>
      <c r="K74" s="1392">
        <f>+K70+K73</f>
        <v>0</v>
      </c>
      <c r="L74" s="1393"/>
    </row>
    <row r="75" spans="1:12" x14ac:dyDescent="0.2">
      <c r="A75" s="218"/>
      <c r="B75" s="172"/>
      <c r="C75" s="172"/>
      <c r="D75" s="187"/>
      <c r="E75" s="187"/>
      <c r="F75" s="187"/>
      <c r="G75" s="187"/>
      <c r="H75" s="177"/>
      <c r="I75" s="183"/>
      <c r="J75" s="204"/>
      <c r="K75" s="189"/>
      <c r="L75" s="189"/>
    </row>
    <row r="76" spans="1:12" x14ac:dyDescent="0.2">
      <c r="A76" s="218">
        <f>+A74+1</f>
        <v>15</v>
      </c>
      <c r="B76" s="186" t="str">
        <f>CONCATENATE("Enter the amount on line ",A74,".  If line ",A74," is less than zero, enter zero")</f>
        <v>Enter the amount on line 14.  If line 14 is less than zero, enter zero</v>
      </c>
      <c r="C76" s="186"/>
      <c r="D76" s="187"/>
      <c r="E76" s="187"/>
      <c r="F76" s="187"/>
      <c r="G76" s="187"/>
      <c r="H76" s="177"/>
      <c r="I76" s="188"/>
      <c r="J76" s="212">
        <f t="shared" ref="J76:J81" si="1">+A76</f>
        <v>15</v>
      </c>
      <c r="K76" s="1388">
        <f>IF(K74&lt;0,0,K74)</f>
        <v>0</v>
      </c>
      <c r="L76" s="1389"/>
    </row>
    <row r="77" spans="1:12" x14ac:dyDescent="0.2">
      <c r="A77" s="218">
        <f t="shared" si="0"/>
        <v>16</v>
      </c>
      <c r="B77" s="186" t="str">
        <f>CONCATENATE("Allowable current year §179 deduction.  Enter the lesser of line ",A71," or line ",A76)</f>
        <v>Allowable current year §179 deduction.  Enter the lesser of line 11 or line 15</v>
      </c>
      <c r="C77" s="186"/>
      <c r="D77" s="187"/>
      <c r="E77" s="187"/>
      <c r="F77" s="187"/>
      <c r="G77" s="187"/>
      <c r="H77" s="177"/>
      <c r="I77" s="178"/>
      <c r="J77" s="212">
        <f t="shared" si="1"/>
        <v>16</v>
      </c>
      <c r="K77" s="1388">
        <f>IF(H71&lt;K76,H71,K76)</f>
        <v>0</v>
      </c>
      <c r="L77" s="1389"/>
    </row>
    <row r="78" spans="1:12" x14ac:dyDescent="0.2">
      <c r="A78" s="218">
        <f t="shared" si="0"/>
        <v>17</v>
      </c>
      <c r="B78" s="172" t="str">
        <f>CONCATENATE("Subtract line ",A77," from line ",A74)</f>
        <v>Subtract line 16 from line 14</v>
      </c>
      <c r="C78" s="172"/>
      <c r="D78" s="187"/>
      <c r="E78" s="187"/>
      <c r="F78" s="187"/>
      <c r="G78" s="187"/>
      <c r="H78" s="177"/>
      <c r="I78" s="178"/>
      <c r="J78" s="212">
        <f t="shared" si="1"/>
        <v>17</v>
      </c>
      <c r="K78" s="1388">
        <f>+K74-K77</f>
        <v>0</v>
      </c>
      <c r="L78" s="1389"/>
    </row>
    <row r="79" spans="1:12" x14ac:dyDescent="0.2">
      <c r="A79" s="218">
        <f>+A78+1</f>
        <v>18</v>
      </c>
      <c r="B79" s="186" t="str">
        <f>CONCATENATE("Enter the amount on line ",A78,".  If line ",A78," is less than zero, enter zero")</f>
        <v>Enter the amount on line 17.  If line 17 is less than zero, enter zero</v>
      </c>
      <c r="C79" s="186"/>
      <c r="D79" s="187"/>
      <c r="E79" s="187"/>
      <c r="F79" s="187"/>
      <c r="G79" s="187"/>
      <c r="H79" s="177"/>
      <c r="I79" s="178"/>
      <c r="J79" s="212">
        <f t="shared" si="1"/>
        <v>18</v>
      </c>
      <c r="K79" s="1388">
        <f>IF(K78&lt;0,0,K78)</f>
        <v>0</v>
      </c>
      <c r="L79" s="1389"/>
    </row>
    <row r="80" spans="1:12" x14ac:dyDescent="0.2">
      <c r="A80" s="218">
        <f>+A79+1</f>
        <v>19</v>
      </c>
      <c r="B80" s="172" t="str">
        <f>CONCATENATE("Enter the lesser of line ",A79," or the unused §179 carryover")</f>
        <v>Enter the lesser of line 18 or the unused §179 carryover</v>
      </c>
      <c r="C80" s="172"/>
      <c r="D80" s="187"/>
      <c r="E80" s="187"/>
      <c r="F80" s="187"/>
      <c r="G80" s="187"/>
      <c r="H80" s="177"/>
      <c r="I80" s="178"/>
      <c r="J80" s="212">
        <f t="shared" si="1"/>
        <v>19</v>
      </c>
      <c r="K80" s="1388">
        <f>+'Fed Carryovers'!H40</f>
        <v>0</v>
      </c>
      <c r="L80" s="1389"/>
    </row>
    <row r="81" spans="1:12" x14ac:dyDescent="0.2">
      <c r="A81" s="218">
        <f>+A80+1</f>
        <v>20</v>
      </c>
      <c r="B81" s="172" t="str">
        <f>CONCATENATE("Federal 'C-Corp' income before contribution deduction and NOL. Subtract line ",A80," from ",A78)</f>
        <v>Federal 'C-Corp' income before contribution deduction and NOL. Subtract line 19 from 17</v>
      </c>
      <c r="C81" s="172"/>
      <c r="D81" s="187"/>
      <c r="E81" s="187"/>
      <c r="F81" s="187"/>
      <c r="G81" s="187"/>
      <c r="H81" s="177"/>
      <c r="I81" s="178"/>
      <c r="J81" s="212">
        <f t="shared" si="1"/>
        <v>20</v>
      </c>
      <c r="K81" s="1388">
        <f>+K78-K80</f>
        <v>0</v>
      </c>
      <c r="L81" s="1389"/>
    </row>
    <row r="82" spans="1:12" x14ac:dyDescent="0.2">
      <c r="A82" s="218"/>
    </row>
    <row r="83" spans="1:12" x14ac:dyDescent="0.2">
      <c r="A83" s="218">
        <f>+A81+1</f>
        <v>21</v>
      </c>
      <c r="B83" s="186" t="str">
        <f>CONCATENATE("Enter the amount on line ",A81,".  If line ",A81," is less than zero, enter zero")</f>
        <v>Enter the amount on line 20.  If line 20 is less than zero, enter zero</v>
      </c>
      <c r="C83" s="186"/>
      <c r="D83" s="173"/>
      <c r="E83" s="173"/>
      <c r="F83" s="173"/>
      <c r="G83" s="173"/>
      <c r="H83" s="174"/>
      <c r="I83" s="175"/>
      <c r="J83" s="212">
        <f>+A83</f>
        <v>21</v>
      </c>
      <c r="K83" s="1388">
        <f>IF(K81&lt;0,0,K81)</f>
        <v>0</v>
      </c>
      <c r="L83" s="1389"/>
    </row>
    <row r="84" spans="1:12" x14ac:dyDescent="0.2">
      <c r="A84" s="218">
        <f t="shared" si="0"/>
        <v>22</v>
      </c>
      <c r="B84" s="172" t="str">
        <f>CONCATENATE("Enter the lesser of line ",A83," or the federal net operating loss carryover")</f>
        <v>Enter the lesser of line 21 or the federal net operating loss carryover</v>
      </c>
      <c r="C84" s="172"/>
      <c r="D84" s="173"/>
      <c r="E84" s="173"/>
      <c r="F84" s="173"/>
      <c r="G84" s="173"/>
      <c r="H84" s="174"/>
      <c r="I84" s="175"/>
      <c r="J84" s="212">
        <f>+A84</f>
        <v>22</v>
      </c>
      <c r="K84" s="1388">
        <f>+'Fed Carryovers'!H44</f>
        <v>0</v>
      </c>
      <c r="L84" s="1389"/>
    </row>
    <row r="85" spans="1:12" x14ac:dyDescent="0.2">
      <c r="A85" s="218">
        <f t="shared" si="0"/>
        <v>23</v>
      </c>
      <c r="B85" s="172" t="str">
        <f>CONCATENATE("Federal 'C-Corp' income before contribution deduction. Subtract line ",A84," from ",A81)</f>
        <v>Federal 'C-Corp' income before contribution deduction. Subtract line 22 from 20</v>
      </c>
      <c r="C85" s="172"/>
      <c r="D85" s="187"/>
      <c r="E85" s="187"/>
      <c r="F85" s="187"/>
      <c r="G85" s="187"/>
      <c r="H85" s="177"/>
      <c r="I85" s="178"/>
      <c r="J85" s="212">
        <f>+A85</f>
        <v>23</v>
      </c>
      <c r="K85" s="1388">
        <f>+K81-K84</f>
        <v>0</v>
      </c>
      <c r="L85" s="1389"/>
    </row>
    <row r="86" spans="1:12" x14ac:dyDescent="0.2">
      <c r="A86" s="218"/>
      <c r="B86" s="61"/>
      <c r="C86" s="61"/>
      <c r="D86" s="16"/>
      <c r="E86" s="16"/>
      <c r="F86" s="16"/>
      <c r="G86" s="16"/>
      <c r="H86" s="190"/>
      <c r="I86" s="190"/>
      <c r="J86" s="190"/>
      <c r="K86" s="190"/>
      <c r="L86" s="190"/>
    </row>
    <row r="87" spans="1:12" x14ac:dyDescent="0.2">
      <c r="A87" s="218">
        <f>+A85+1</f>
        <v>24</v>
      </c>
      <c r="B87" s="186" t="str">
        <f>CONCATENATE("Enter the amount on line ",A85,".  If line ",A85," is less than zero, enter zero")</f>
        <v>Enter the amount on line 23.  If line 23 is less than zero, enter zero</v>
      </c>
      <c r="C87" s="186"/>
      <c r="D87" s="173"/>
      <c r="E87" s="173"/>
      <c r="F87" s="173"/>
      <c r="G87" s="173"/>
      <c r="H87" s="174"/>
      <c r="I87" s="175"/>
      <c r="J87" s="212">
        <f>+A87</f>
        <v>24</v>
      </c>
      <c r="K87" s="1388">
        <f>IF(K85&lt;0,0,K85)</f>
        <v>0</v>
      </c>
      <c r="L87" s="1389"/>
    </row>
    <row r="88" spans="1:12" x14ac:dyDescent="0.2">
      <c r="A88" s="218">
        <f>+A87+1</f>
        <v>25</v>
      </c>
      <c r="B88" s="186" t="str">
        <f>CONCATENATE("Multiply line ",A87," by 0.10")</f>
        <v>Multiply line 24 by 0.10</v>
      </c>
      <c r="C88" s="186"/>
      <c r="D88" s="173"/>
      <c r="E88" s="173"/>
      <c r="F88" s="173"/>
      <c r="G88" s="173"/>
      <c r="H88" s="174"/>
      <c r="I88" s="175"/>
      <c r="J88" s="212">
        <f>+A88</f>
        <v>25</v>
      </c>
      <c r="K88" s="1388">
        <f>ROUND(K87*0.1,0)</f>
        <v>0</v>
      </c>
      <c r="L88" s="1389"/>
    </row>
    <row r="89" spans="1:12" x14ac:dyDescent="0.2">
      <c r="A89" s="218">
        <f>+A88+1</f>
        <v>26</v>
      </c>
      <c r="B89" s="172" t="str">
        <f>CONCATENATE("Enter the lesser of line ",A88," or the available contribution deduction and carryovers")</f>
        <v>Enter the lesser of line 25 or the available contribution deduction and carryovers</v>
      </c>
      <c r="C89" s="172"/>
      <c r="D89" s="173"/>
      <c r="E89" s="173"/>
      <c r="F89" s="173"/>
      <c r="G89" s="173"/>
      <c r="H89" s="174"/>
      <c r="I89" s="175"/>
      <c r="J89" s="212">
        <f>+A89</f>
        <v>26</v>
      </c>
      <c r="K89" s="1388">
        <f>+'Fed Carryovers'!H49</f>
        <v>0</v>
      </c>
      <c r="L89" s="1389"/>
    </row>
    <row r="90" spans="1:12" x14ac:dyDescent="0.2">
      <c r="A90" s="218">
        <f>+A89+1</f>
        <v>27</v>
      </c>
      <c r="B90" s="172" t="str">
        <f>CONCATENATE("Federal income as if taxpayer was an 'C-Corp'. Subtract line ",A89," from ",A85)</f>
        <v>Federal income as if taxpayer was an 'C-Corp'. Subtract line 26 from 23</v>
      </c>
      <c r="C90" s="172"/>
      <c r="D90" s="187"/>
      <c r="E90" s="187"/>
      <c r="F90" s="187"/>
      <c r="G90" s="187"/>
      <c r="H90" s="177"/>
      <c r="I90" s="178"/>
      <c r="J90" s="212">
        <f>+A90</f>
        <v>27</v>
      </c>
      <c r="K90" s="1388">
        <f>+K85-K89</f>
        <v>0</v>
      </c>
      <c r="L90" s="1389"/>
    </row>
    <row r="91" spans="1:12" x14ac:dyDescent="0.2">
      <c r="A91" s="49"/>
      <c r="B91" s="1"/>
      <c r="C91" s="1"/>
    </row>
    <row r="92" spans="1:12" x14ac:dyDescent="0.2">
      <c r="A92" s="218">
        <f>+A90+1</f>
        <v>28</v>
      </c>
      <c r="B92" s="172" t="str">
        <f>CONCATENATE("Federal income before net operating losses as if taxpayer was a 'C-Corp'. Add lines ",A84," and ",A90)</f>
        <v>Federal income before net operating losses as if taxpayer was a 'C-Corp'. Add lines 22 and 27</v>
      </c>
      <c r="C92" s="172"/>
      <c r="D92" s="187"/>
      <c r="E92" s="187"/>
      <c r="F92" s="187"/>
      <c r="G92" s="187"/>
      <c r="H92" s="177"/>
      <c r="I92" s="178"/>
      <c r="J92" s="212">
        <f>+A92</f>
        <v>28</v>
      </c>
      <c r="K92" s="1388">
        <f>+K84+K90</f>
        <v>0</v>
      </c>
      <c r="L92" s="1389"/>
    </row>
    <row r="93" spans="1:12" x14ac:dyDescent="0.2">
      <c r="A93" s="49"/>
      <c r="B93" s="1"/>
      <c r="C93" s="1"/>
    </row>
    <row r="94" spans="1:12" x14ac:dyDescent="0.2">
      <c r="A94" s="218">
        <f>+A92+1</f>
        <v>29</v>
      </c>
      <c r="B94" s="1419" t="str">
        <f>CONCATENATE("Income before NOL's &amp; Schedule X adjustments. Subtract lines ",A65," &amp; ",A69," from the total of lines ",A92," &amp; ",A67)</f>
        <v>Income before NOL's &amp; Schedule X adjustments. Subtract lines 5 &amp; 9 from the total of lines 28 &amp; 7</v>
      </c>
      <c r="C94" s="1419"/>
      <c r="D94" s="1419"/>
      <c r="E94" s="1419"/>
      <c r="F94" s="1419"/>
      <c r="G94" s="1419"/>
      <c r="H94" s="1419"/>
      <c r="I94" s="1420"/>
      <c r="J94" s="212">
        <f>+A94</f>
        <v>29</v>
      </c>
      <c r="K94" s="1388">
        <f>+K92-K65-K69+K67</f>
        <v>0</v>
      </c>
      <c r="L94" s="1389"/>
    </row>
    <row r="95" spans="1:12" x14ac:dyDescent="0.2">
      <c r="A95" s="49"/>
      <c r="B95" s="1"/>
      <c r="C95" s="1"/>
    </row>
    <row r="96" spans="1:12" x14ac:dyDescent="0.2">
      <c r="A96" s="1405" t="s">
        <v>480</v>
      </c>
      <c r="B96" s="1405"/>
      <c r="C96" s="1405"/>
      <c r="D96" s="1405"/>
      <c r="E96" s="1405"/>
      <c r="F96" s="1405"/>
      <c r="G96" s="1405"/>
      <c r="H96" s="1405"/>
      <c r="I96" s="1405"/>
      <c r="J96" s="1405"/>
      <c r="K96" s="1405"/>
      <c r="L96" s="1405"/>
    </row>
    <row r="97" spans="1:12" x14ac:dyDescent="0.2">
      <c r="A97" s="218">
        <f>+A94+1</f>
        <v>30</v>
      </c>
      <c r="B97" s="172" t="s">
        <v>529</v>
      </c>
      <c r="C97" s="172"/>
      <c r="D97" s="173"/>
      <c r="E97" s="173"/>
      <c r="F97" s="173"/>
      <c r="G97" s="46">
        <f>+A97</f>
        <v>30</v>
      </c>
      <c r="H97" s="1426">
        <f>+'Fed Carryovers'!F53</f>
        <v>0</v>
      </c>
      <c r="I97" s="1426"/>
      <c r="J97" s="205"/>
      <c r="K97" s="179"/>
      <c r="L97" s="180"/>
    </row>
    <row r="98" spans="1:12" x14ac:dyDescent="0.2">
      <c r="A98" s="218">
        <f t="shared" ref="A98:A103" si="2">+A97+1</f>
        <v>31</v>
      </c>
      <c r="B98" s="172" t="str">
        <f>CONCATENATE("Enter the lesser of line ",A97," or the nonrecaptured 1231 losses")</f>
        <v>Enter the lesser of line 30 or the nonrecaptured 1231 losses</v>
      </c>
      <c r="C98" s="172"/>
      <c r="D98" s="173"/>
      <c r="E98" s="173"/>
      <c r="F98" s="173"/>
      <c r="G98" s="46">
        <f>+A98</f>
        <v>31</v>
      </c>
      <c r="H98" s="1426">
        <f>+'Fed Carryovers'!F54</f>
        <v>0</v>
      </c>
      <c r="I98" s="1426"/>
      <c r="J98" s="206"/>
      <c r="K98" s="181"/>
      <c r="L98" s="182"/>
    </row>
    <row r="99" spans="1:12" x14ac:dyDescent="0.2">
      <c r="A99" s="218">
        <f t="shared" si="2"/>
        <v>32</v>
      </c>
      <c r="B99" s="172" t="str">
        <f>CONCATENATE("'C Corp' 1231 capital gain.  Subtract line ",A98," from line ",G97)</f>
        <v>'C Corp' 1231 capital gain.  Subtract line 31 from line 30</v>
      </c>
      <c r="C99" s="172"/>
      <c r="D99" s="173"/>
      <c r="E99" s="173"/>
      <c r="F99" s="173"/>
      <c r="G99" s="173"/>
      <c r="H99" s="177"/>
      <c r="I99" s="178"/>
      <c r="J99" s="207">
        <f>+A99</f>
        <v>32</v>
      </c>
      <c r="K99" s="1404">
        <f>+H97-H98</f>
        <v>0</v>
      </c>
      <c r="L99" s="1404"/>
    </row>
    <row r="100" spans="1:12" x14ac:dyDescent="0.2">
      <c r="A100" s="218">
        <f t="shared" si="2"/>
        <v>33</v>
      </c>
      <c r="B100" s="172" t="s">
        <v>526</v>
      </c>
      <c r="C100" s="172"/>
      <c r="D100" s="173"/>
      <c r="E100" s="173"/>
      <c r="F100" s="173"/>
      <c r="G100" s="46">
        <f>+A100</f>
        <v>33</v>
      </c>
      <c r="H100" s="1426">
        <f>+'Fed Carryovers'!F56</f>
        <v>0</v>
      </c>
      <c r="I100" s="1427"/>
      <c r="J100" s="208"/>
      <c r="K100" s="179"/>
      <c r="L100" s="180"/>
    </row>
    <row r="101" spans="1:12" x14ac:dyDescent="0.2">
      <c r="A101" s="218">
        <f t="shared" si="2"/>
        <v>34</v>
      </c>
      <c r="B101" s="172" t="s">
        <v>528</v>
      </c>
      <c r="C101" s="172"/>
      <c r="D101" s="173"/>
      <c r="E101" s="173"/>
      <c r="F101" s="173"/>
      <c r="G101" s="46">
        <f>+A101</f>
        <v>34</v>
      </c>
      <c r="H101" s="1426">
        <f>+'Fed Carryovers'!F57</f>
        <v>0</v>
      </c>
      <c r="I101" s="1427"/>
      <c r="J101" s="209"/>
      <c r="K101" s="181"/>
      <c r="L101" s="182"/>
    </row>
    <row r="102" spans="1:12" x14ac:dyDescent="0.2">
      <c r="A102" s="218">
        <f t="shared" si="2"/>
        <v>35</v>
      </c>
      <c r="B102" s="172" t="str">
        <f>CONCATENATE("Schedule D capital gain (loss). Combine lines ",A100," and ",A101)</f>
        <v>Schedule D capital gain (loss). Combine lines 33 and 34</v>
      </c>
      <c r="C102" s="172"/>
      <c r="D102" s="173"/>
      <c r="E102" s="173"/>
      <c r="F102" s="173"/>
      <c r="G102" s="173"/>
      <c r="H102" s="1410"/>
      <c r="I102" s="1411"/>
      <c r="J102" s="211">
        <f>+A102</f>
        <v>35</v>
      </c>
      <c r="K102" s="1392">
        <f>SUM(H100:I101)</f>
        <v>0</v>
      </c>
      <c r="L102" s="1393"/>
    </row>
    <row r="103" spans="1:12" x14ac:dyDescent="0.2">
      <c r="A103" s="218">
        <f t="shared" si="2"/>
        <v>36</v>
      </c>
      <c r="B103" s="172" t="str">
        <f>CONCATENATE("Current year capital gain (loss). Combine lines ",A99," and ",A102)</f>
        <v>Current year capital gain (loss). Combine lines 32 and 35</v>
      </c>
      <c r="C103" s="172"/>
      <c r="D103" s="173"/>
      <c r="E103" s="173"/>
      <c r="F103" s="173"/>
      <c r="G103" s="173"/>
      <c r="H103" s="177"/>
      <c r="I103" s="178"/>
      <c r="J103" s="210"/>
      <c r="K103" s="1388">
        <f>+K99+K102</f>
        <v>0</v>
      </c>
      <c r="L103" s="1389"/>
    </row>
    <row r="104" spans="1:12" x14ac:dyDescent="0.2">
      <c r="A104" s="218"/>
      <c r="B104" s="172"/>
      <c r="C104" s="172"/>
      <c r="D104" s="173"/>
      <c r="E104" s="173"/>
      <c r="F104" s="173"/>
      <c r="G104" s="173"/>
      <c r="H104" s="177"/>
      <c r="I104" s="183"/>
      <c r="J104" s="210"/>
      <c r="K104" s="184"/>
      <c r="L104" s="184"/>
    </row>
    <row r="105" spans="1:12" x14ac:dyDescent="0.2">
      <c r="A105" s="218">
        <f>+A103+1</f>
        <v>37</v>
      </c>
      <c r="B105" s="172" t="str">
        <f>CONCATENATE("If the amount on line ",A103," is a gain, enter the gain here")</f>
        <v>If the amount on line 36 is a gain, enter the gain here</v>
      </c>
      <c r="C105" s="172"/>
      <c r="D105" s="173"/>
      <c r="E105" s="173"/>
      <c r="F105" s="173"/>
      <c r="G105" s="173"/>
      <c r="H105" s="177"/>
      <c r="I105" s="178"/>
      <c r="J105" s="212">
        <f>+A105</f>
        <v>37</v>
      </c>
      <c r="K105" s="1388">
        <f>IF(K103&gt;0,K103,0)</f>
        <v>0</v>
      </c>
      <c r="L105" s="1389"/>
    </row>
    <row r="106" spans="1:12" x14ac:dyDescent="0.2">
      <c r="A106" s="218">
        <f>+A105+1</f>
        <v>38</v>
      </c>
      <c r="B106" s="172" t="str">
        <f>CONCATENATE("Enter the lesser of line ",A105," or the capital loss carryover")</f>
        <v>Enter the lesser of line 37 or the capital loss carryover</v>
      </c>
      <c r="C106" s="172"/>
      <c r="D106" s="173"/>
      <c r="E106" s="173"/>
      <c r="F106" s="173"/>
      <c r="G106" s="173"/>
      <c r="H106" s="177"/>
      <c r="I106" s="178"/>
      <c r="J106" s="212">
        <f>+A106</f>
        <v>38</v>
      </c>
      <c r="K106" s="1388">
        <f>+'Fed Carryovers'!H62</f>
        <v>0</v>
      </c>
      <c r="L106" s="1389"/>
    </row>
    <row r="107" spans="1:12" x14ac:dyDescent="0.2">
      <c r="A107" s="218">
        <f>+A106+1</f>
        <v>39</v>
      </c>
      <c r="B107" s="172" t="str">
        <f>CONCATENATE("'C Corp' net capital gains &amp; losses. Subtract line ",A106," from ",A105)</f>
        <v>'C Corp' net capital gains &amp; losses. Subtract line 38 from 37</v>
      </c>
      <c r="C107" s="172"/>
      <c r="D107" s="173"/>
      <c r="E107" s="173"/>
      <c r="F107" s="173"/>
      <c r="G107" s="173"/>
      <c r="H107" s="177"/>
      <c r="I107" s="178"/>
      <c r="J107" s="212">
        <f>+A107</f>
        <v>39</v>
      </c>
      <c r="K107" s="1388">
        <f>+K105-K106</f>
        <v>0</v>
      </c>
      <c r="L107" s="1389"/>
    </row>
    <row r="108" spans="1:12" x14ac:dyDescent="0.2">
      <c r="A108" s="173"/>
      <c r="J108" s="4"/>
    </row>
    <row r="109" spans="1:12" x14ac:dyDescent="0.2">
      <c r="A109" s="218">
        <f>+A107+1</f>
        <v>40</v>
      </c>
      <c r="B109" s="172" t="str">
        <f>CONCATENATE("Capital losses in excess of capital gains.  If line ",A103," is a loss, enter the loss here")</f>
        <v>Capital losses in excess of capital gains.  If line 36 is a loss, enter the loss here</v>
      </c>
      <c r="C109" s="172"/>
      <c r="D109" s="173"/>
      <c r="E109" s="173"/>
      <c r="F109" s="173"/>
      <c r="G109" s="173"/>
      <c r="H109" s="177"/>
      <c r="I109" s="178"/>
      <c r="J109" s="212">
        <f>+A109</f>
        <v>40</v>
      </c>
      <c r="K109" s="1407">
        <f>IF(K103&lt;0,-K103,0)</f>
        <v>0</v>
      </c>
      <c r="L109" s="1407"/>
    </row>
    <row r="110" spans="1:12" ht="30" x14ac:dyDescent="0.4">
      <c r="A110" s="1372" t="s">
        <v>482</v>
      </c>
      <c r="B110" s="1373"/>
      <c r="C110" s="216">
        <v>27</v>
      </c>
      <c r="D110" s="1374" t="s">
        <v>465</v>
      </c>
      <c r="E110" s="1374"/>
      <c r="F110" s="1374"/>
      <c r="G110" s="1374"/>
      <c r="H110" s="1374"/>
      <c r="I110" s="1374"/>
      <c r="J110" s="1374"/>
      <c r="K110" s="1423">
        <f>+K1</f>
        <v>2018</v>
      </c>
      <c r="L110" s="1424"/>
    </row>
    <row r="111" spans="1:12" x14ac:dyDescent="0.2">
      <c r="A111" s="214" t="s">
        <v>159</v>
      </c>
      <c r="B111" s="215"/>
      <c r="C111" s="217"/>
      <c r="D111" s="1375"/>
      <c r="E111" s="1375"/>
      <c r="F111" s="1375"/>
      <c r="G111" s="1375"/>
      <c r="H111" s="1375"/>
      <c r="I111" s="1375"/>
      <c r="J111" s="1375"/>
      <c r="K111" s="1382" t="str">
        <f>+'Complete This Page'!J1</f>
        <v>NPAC v2018.0</v>
      </c>
      <c r="L111" s="1383"/>
    </row>
    <row r="112" spans="1:12" x14ac:dyDescent="0.2">
      <c r="A112" s="1" t="s">
        <v>467</v>
      </c>
      <c r="B112" s="199"/>
      <c r="C112" s="199"/>
      <c r="D112" s="199"/>
      <c r="E112" s="199"/>
      <c r="F112" s="199"/>
      <c r="G112" s="199"/>
      <c r="H112" s="199"/>
      <c r="I112" s="200"/>
      <c r="J112" s="1" t="s">
        <v>466</v>
      </c>
      <c r="K112" s="1"/>
      <c r="L112" s="1"/>
    </row>
    <row r="113" spans="1:12" ht="18" x14ac:dyDescent="0.25">
      <c r="A113" s="25"/>
      <c r="B113" s="1377">
        <f>+B4</f>
        <v>0</v>
      </c>
      <c r="C113" s="1377"/>
      <c r="D113" s="1377"/>
      <c r="E113" s="1377"/>
      <c r="F113" s="1377"/>
      <c r="G113" s="1377"/>
      <c r="H113" s="1377"/>
      <c r="I113" s="1378"/>
      <c r="J113" s="1350">
        <f>+J4</f>
        <v>0</v>
      </c>
      <c r="K113" s="1351"/>
      <c r="L113" s="1351"/>
    </row>
    <row r="114" spans="1:12" x14ac:dyDescent="0.2">
      <c r="A114" s="1406" t="s">
        <v>1199</v>
      </c>
      <c r="B114" s="1406"/>
      <c r="C114" s="1406"/>
      <c r="D114" s="1406"/>
      <c r="E114" s="1406"/>
      <c r="F114" s="1406"/>
      <c r="G114" s="1406"/>
      <c r="H114" s="1406"/>
      <c r="I114" s="1406"/>
      <c r="J114" s="1406"/>
      <c r="K114" s="1406"/>
      <c r="L114" s="1406"/>
    </row>
    <row r="115" spans="1:12" x14ac:dyDescent="0.2">
      <c r="A115" s="251"/>
      <c r="B115" s="251"/>
      <c r="C115" s="251"/>
      <c r="D115" s="251"/>
      <c r="E115" s="251"/>
      <c r="F115" s="251"/>
      <c r="G115" s="251"/>
      <c r="H115" s="251"/>
      <c r="I115" s="251"/>
      <c r="J115" s="251"/>
      <c r="K115" s="251"/>
      <c r="L115" s="251"/>
    </row>
    <row r="116" spans="1:12" ht="15.75" x14ac:dyDescent="0.25">
      <c r="A116" s="1379" t="s">
        <v>700</v>
      </c>
      <c r="B116" s="1379"/>
      <c r="C116" s="1379"/>
      <c r="D116" s="201" t="s">
        <v>127</v>
      </c>
      <c r="E116" s="173"/>
      <c r="F116" s="173"/>
      <c r="G116" s="173"/>
      <c r="H116" s="173"/>
      <c r="I116" s="173"/>
      <c r="J116" s="173"/>
      <c r="K116" s="173"/>
      <c r="L116" s="173"/>
    </row>
    <row r="117" spans="1:12" s="1" customFormat="1" ht="11.25" x14ac:dyDescent="0.2">
      <c r="A117" s="1422" t="s">
        <v>128</v>
      </c>
      <c r="B117" s="1422"/>
      <c r="C117" s="1422"/>
      <c r="D117" s="1422"/>
      <c r="E117" s="1422"/>
      <c r="F117" s="1422"/>
      <c r="G117" s="1422"/>
      <c r="H117" s="1422"/>
      <c r="I117" s="1422"/>
      <c r="J117" s="1422"/>
      <c r="K117" s="1422"/>
      <c r="L117" s="1422"/>
    </row>
    <row r="118" spans="1:12" ht="33.950000000000003" customHeight="1" x14ac:dyDescent="0.2">
      <c r="A118" s="1414" t="s">
        <v>129</v>
      </c>
      <c r="B118" s="1415"/>
      <c r="C118" s="1415"/>
      <c r="D118" s="1097" t="s">
        <v>130</v>
      </c>
      <c r="E118" s="1097"/>
      <c r="F118" s="250" t="s">
        <v>696</v>
      </c>
      <c r="G118" s="1408" t="s">
        <v>698</v>
      </c>
      <c r="H118" s="1409"/>
      <c r="I118" s="250" t="s">
        <v>658</v>
      </c>
      <c r="J118" s="1408" t="s">
        <v>697</v>
      </c>
      <c r="K118" s="1409"/>
      <c r="L118" s="246" t="s">
        <v>699</v>
      </c>
    </row>
    <row r="119" spans="1:12" x14ac:dyDescent="0.2">
      <c r="A119" s="1416" t="str">
        <f>IF(AND(Data!$B$11=TRUE,'Complete This Page'!$B$129&lt;&gt;""),'Complete This Page'!$B$129,"")</f>
        <v/>
      </c>
      <c r="B119" s="1417"/>
      <c r="C119" s="1417"/>
      <c r="D119" s="1418" t="str">
        <f>IF(AND(Data!$B$11=TRUE,'Complete This Page'!$B$129&lt;&gt;""),'Complete This Page'!$F$129,"")</f>
        <v/>
      </c>
      <c r="E119" s="1418"/>
      <c r="F119" s="255" t="str">
        <f>IF(AND(Data!$B$11=TRUE,'Complete This Page'!$B$129&lt;&gt;""),'Complete This Page'!$G$129,"")</f>
        <v/>
      </c>
      <c r="G119" s="1421" t="str">
        <f>IF(AND(Data!$B$11=TRUE,'Complete This Page'!$B$129&lt;&gt;""),'Complete This Page'!$H$129,"")</f>
        <v/>
      </c>
      <c r="H119" s="1421"/>
      <c r="I119" s="256" t="str">
        <f>IF(AND(Data!$B$11=TRUE,'Complete This Page'!$B$129&lt;&gt;""),'Complete This Page'!$J$129,"")</f>
        <v/>
      </c>
      <c r="J119" s="1421" t="str">
        <f>IF(AND(Data!$B$11=TRUE,'Complete This Page'!$B129&lt;&gt;""),ROUND('Print Return'!$L$51*$F119,0),"")</f>
        <v/>
      </c>
      <c r="K119" s="1421"/>
      <c r="L119" s="257" t="str">
        <f>IF(AND(Data!$B$11=TRUE,'Complete This Page'!$B129&lt;&gt;""),ROUND('Print Return'!$L$53*$F119,0),"")</f>
        <v/>
      </c>
    </row>
    <row r="120" spans="1:12" x14ac:dyDescent="0.2">
      <c r="A120" s="1416" t="str">
        <f>IF(AND(Data!$B$11=TRUE,'Complete This Page'!$B$130&lt;&gt;""),'Complete This Page'!$B$130,"")</f>
        <v/>
      </c>
      <c r="B120" s="1417"/>
      <c r="C120" s="1417"/>
      <c r="D120" s="1418" t="str">
        <f>IF(AND(Data!$B$11=TRUE,'Complete This Page'!$B$130&lt;&gt;""),'Complete This Page'!$F$130,"")</f>
        <v/>
      </c>
      <c r="E120" s="1418"/>
      <c r="F120" s="255" t="str">
        <f>IF(AND(Data!$B$11=TRUE,'Complete This Page'!$B$130&lt;&gt;""),'Complete This Page'!$G$130,"")</f>
        <v/>
      </c>
      <c r="G120" s="1421" t="str">
        <f>IF(AND(Data!$B$11=TRUE,'Complete This Page'!$B$130&lt;&gt;""),'Complete This Page'!$H$130,"")</f>
        <v/>
      </c>
      <c r="H120" s="1421"/>
      <c r="I120" s="256" t="str">
        <f>IF(AND(Data!$B$11=TRUE,'Complete This Page'!$B$130&lt;&gt;""),'Complete This Page'!$J$130,"")</f>
        <v/>
      </c>
      <c r="J120" s="1421" t="str">
        <f>IF(AND(Data!$B$11=TRUE,'Complete This Page'!$B130&lt;&gt;""),ROUND('Print Return'!$L$51*$F120,0),"")</f>
        <v/>
      </c>
      <c r="K120" s="1421"/>
      <c r="L120" s="257" t="str">
        <f>IF(AND(Data!$B$11=TRUE,'Complete This Page'!$B130&lt;&gt;""),ROUND('Print Return'!$L$53*$F120,0),"")</f>
        <v/>
      </c>
    </row>
    <row r="121" spans="1:12" x14ac:dyDescent="0.2">
      <c r="A121" s="1416" t="str">
        <f>IF(AND(Data!$B$11=TRUE,'Complete This Page'!$B$131&lt;&gt;""),'Complete This Page'!$B$131,"")</f>
        <v/>
      </c>
      <c r="B121" s="1417"/>
      <c r="C121" s="1417"/>
      <c r="D121" s="1418" t="str">
        <f>IF(AND(Data!$B$11=TRUE,'Complete This Page'!$B$131&lt;&gt;""),'Complete This Page'!$F$131,"")</f>
        <v/>
      </c>
      <c r="E121" s="1418"/>
      <c r="F121" s="255" t="str">
        <f>IF(AND(Data!$B$11=TRUE,'Complete This Page'!$B$131&lt;&gt;""),'Complete This Page'!$G$131,"")</f>
        <v/>
      </c>
      <c r="G121" s="1421" t="str">
        <f>IF(AND(Data!$B$11=TRUE,'Complete This Page'!$B$131&lt;&gt;""),'Complete This Page'!$H$131,"")</f>
        <v/>
      </c>
      <c r="H121" s="1421"/>
      <c r="I121" s="256" t="str">
        <f>IF(AND(Data!$B$11=TRUE,'Complete This Page'!$B$131&lt;&gt;""),'Complete This Page'!$J$131,"")</f>
        <v/>
      </c>
      <c r="J121" s="1421" t="str">
        <f>IF(AND(Data!$B$11=TRUE,'Complete This Page'!$B131&lt;&gt;""),ROUND('Print Return'!$L$51*$F121,0),"")</f>
        <v/>
      </c>
      <c r="K121" s="1421"/>
      <c r="L121" s="257" t="str">
        <f>IF(AND(Data!$B$11=TRUE,'Complete This Page'!$B131&lt;&gt;""),ROUND('Print Return'!$L$53*$F121,0),"")</f>
        <v/>
      </c>
    </row>
    <row r="122" spans="1:12" x14ac:dyDescent="0.2">
      <c r="A122" s="1416" t="str">
        <f>IF(AND(Data!$B$11=TRUE,'Complete This Page'!$B$132&lt;&gt;""),'Complete This Page'!$B$132,"")</f>
        <v/>
      </c>
      <c r="B122" s="1417"/>
      <c r="C122" s="1417"/>
      <c r="D122" s="1418" t="str">
        <f>IF(AND(Data!$B$11=TRUE,'Complete This Page'!$B$132&lt;&gt;""),'Complete This Page'!$F$132,"")</f>
        <v/>
      </c>
      <c r="E122" s="1418"/>
      <c r="F122" s="255" t="str">
        <f>IF(AND(Data!$B$11=TRUE,'Complete This Page'!$B$132&lt;&gt;""),'Complete This Page'!$G$132,"")</f>
        <v/>
      </c>
      <c r="G122" s="1421" t="str">
        <f>IF(AND(Data!$B$11=TRUE,'Complete This Page'!$B$132&lt;&gt;""),'Complete This Page'!$H$132,"")</f>
        <v/>
      </c>
      <c r="H122" s="1421"/>
      <c r="I122" s="256" t="str">
        <f>IF(AND(Data!$B$11=TRUE,'Complete This Page'!$B$132&lt;&gt;""),'Complete This Page'!$J$132,"")</f>
        <v/>
      </c>
      <c r="J122" s="1421" t="str">
        <f>IF(AND(Data!$B$11=TRUE,'Complete This Page'!$B132&lt;&gt;""),ROUND('Print Return'!$L$51*$F122,0),"")</f>
        <v/>
      </c>
      <c r="K122" s="1421"/>
      <c r="L122" s="257" t="str">
        <f>IF(AND(Data!$B$11=TRUE,'Complete This Page'!$B132&lt;&gt;""),ROUND('Print Return'!$L$53*$F122,0),"")</f>
        <v/>
      </c>
    </row>
    <row r="123" spans="1:12" x14ac:dyDescent="0.2">
      <c r="A123" s="1416" t="str">
        <f>IF(AND(Data!$B$11=TRUE,'Complete This Page'!$B$133&lt;&gt;""),'Complete This Page'!$B$133,"")</f>
        <v/>
      </c>
      <c r="B123" s="1417"/>
      <c r="C123" s="1417"/>
      <c r="D123" s="1418" t="str">
        <f>IF(AND(Data!$B$11=TRUE,'Complete This Page'!$B$133&lt;&gt;""),'Complete This Page'!$F$133,"")</f>
        <v/>
      </c>
      <c r="E123" s="1418"/>
      <c r="F123" s="255" t="str">
        <f>IF(AND(Data!$B$11=TRUE,'Complete This Page'!$B$133&lt;&gt;""),'Complete This Page'!$G$133,"")</f>
        <v/>
      </c>
      <c r="G123" s="1421" t="str">
        <f>IF(AND(Data!$B$11=TRUE,'Complete This Page'!$B$133&lt;&gt;""),'Complete This Page'!$H$133,"")</f>
        <v/>
      </c>
      <c r="H123" s="1421"/>
      <c r="I123" s="256" t="str">
        <f>IF(AND(Data!$B$11=TRUE,'Complete This Page'!$B$133&lt;&gt;""),'Complete This Page'!$J$133,"")</f>
        <v/>
      </c>
      <c r="J123" s="1421" t="str">
        <f>IF(AND(Data!$B$11=TRUE,'Complete This Page'!$B133&lt;&gt;""),ROUND('Print Return'!$L$51*$F123,0),"")</f>
        <v/>
      </c>
      <c r="K123" s="1421"/>
      <c r="L123" s="257" t="str">
        <f>IF(AND(Data!$B$11=TRUE,'Complete This Page'!$B133&lt;&gt;""),ROUND('Print Return'!$L$53*$F123,0),"")</f>
        <v/>
      </c>
    </row>
  </sheetData>
  <sheetProtection algorithmName="SHA-512" hashValue="nFpnvoaRIx1XCCjjhvHMWwQNt2R6keYVjiRpnT8bjouRocFAAmr+ME06U7jl0mix7pZJOseix/LkbIdSlWTftA==" saltValue="OaiBqVnU64RkPZHU6rYDmA==" spinCount="100000" sheet="1" objects="1" scenarios="1"/>
  <mergeCells count="191">
    <mergeCell ref="K110:L110"/>
    <mergeCell ref="K111:L111"/>
    <mergeCell ref="H62:I62"/>
    <mergeCell ref="K106:L106"/>
    <mergeCell ref="K81:L81"/>
    <mergeCell ref="K80:L80"/>
    <mergeCell ref="K109:L109"/>
    <mergeCell ref="K87:L87"/>
    <mergeCell ref="H100:I100"/>
    <mergeCell ref="H101:I101"/>
    <mergeCell ref="H64:I64"/>
    <mergeCell ref="H63:I63"/>
    <mergeCell ref="H98:I98"/>
    <mergeCell ref="H97:I97"/>
    <mergeCell ref="K92:L92"/>
    <mergeCell ref="H71:I71"/>
    <mergeCell ref="H72:I72"/>
    <mergeCell ref="K88:L88"/>
    <mergeCell ref="K89:L89"/>
    <mergeCell ref="K90:L90"/>
    <mergeCell ref="K77:L77"/>
    <mergeCell ref="K78:L78"/>
    <mergeCell ref="K79:L79"/>
    <mergeCell ref="A96:L96"/>
    <mergeCell ref="D123:E123"/>
    <mergeCell ref="G119:H119"/>
    <mergeCell ref="G120:H120"/>
    <mergeCell ref="G121:H121"/>
    <mergeCell ref="J123:K123"/>
    <mergeCell ref="J122:K122"/>
    <mergeCell ref="G123:H123"/>
    <mergeCell ref="G122:H122"/>
    <mergeCell ref="J121:K121"/>
    <mergeCell ref="J119:K119"/>
    <mergeCell ref="B113:I113"/>
    <mergeCell ref="A118:C118"/>
    <mergeCell ref="D110:J111"/>
    <mergeCell ref="A114:L114"/>
    <mergeCell ref="J113:L113"/>
    <mergeCell ref="A121:C121"/>
    <mergeCell ref="A123:C123"/>
    <mergeCell ref="D122:E122"/>
    <mergeCell ref="K94:L94"/>
    <mergeCell ref="B94:I94"/>
    <mergeCell ref="K107:L107"/>
    <mergeCell ref="K99:L99"/>
    <mergeCell ref="J120:K120"/>
    <mergeCell ref="J118:K118"/>
    <mergeCell ref="A110:B110"/>
    <mergeCell ref="A116:C116"/>
    <mergeCell ref="A117:L117"/>
    <mergeCell ref="D118:E118"/>
    <mergeCell ref="A122:C122"/>
    <mergeCell ref="D120:E120"/>
    <mergeCell ref="D119:E119"/>
    <mergeCell ref="D121:E121"/>
    <mergeCell ref="A119:C119"/>
    <mergeCell ref="A120:C120"/>
    <mergeCell ref="G118:H118"/>
    <mergeCell ref="H102:I102"/>
    <mergeCell ref="K102:L102"/>
    <mergeCell ref="K103:L103"/>
    <mergeCell ref="K105:L105"/>
    <mergeCell ref="A49:C49"/>
    <mergeCell ref="A25:C25"/>
    <mergeCell ref="A19:D19"/>
    <mergeCell ref="G16:H16"/>
    <mergeCell ref="L37:L38"/>
    <mergeCell ref="G25:H25"/>
    <mergeCell ref="A27:C27"/>
    <mergeCell ref="J43:K43"/>
    <mergeCell ref="G38:H38"/>
    <mergeCell ref="A26:C26"/>
    <mergeCell ref="D37:K37"/>
    <mergeCell ref="A23:C23"/>
    <mergeCell ref="A24:C24"/>
    <mergeCell ref="A20:D20"/>
    <mergeCell ref="A16:C16"/>
    <mergeCell ref="D23:K23"/>
    <mergeCell ref="L45:L46"/>
    <mergeCell ref="A46:C46"/>
    <mergeCell ref="J38:K38"/>
    <mergeCell ref="G51:H51"/>
    <mergeCell ref="A51:C51"/>
    <mergeCell ref="K65:L65"/>
    <mergeCell ref="K66:L66"/>
    <mergeCell ref="K68:L68"/>
    <mergeCell ref="K69:L69"/>
    <mergeCell ref="K70:L70"/>
    <mergeCell ref="K67:L67"/>
    <mergeCell ref="J51:K51"/>
    <mergeCell ref="B57:I57"/>
    <mergeCell ref="A60:L60"/>
    <mergeCell ref="A58:B58"/>
    <mergeCell ref="A59:L59"/>
    <mergeCell ref="A54:B54"/>
    <mergeCell ref="J57:L57"/>
    <mergeCell ref="K54:L54"/>
    <mergeCell ref="K55:L55"/>
    <mergeCell ref="D54:J55"/>
    <mergeCell ref="K61:L61"/>
    <mergeCell ref="A38:C38"/>
    <mergeCell ref="A50:C50"/>
    <mergeCell ref="G50:H50"/>
    <mergeCell ref="A33:B33"/>
    <mergeCell ref="A28:C28"/>
    <mergeCell ref="A29:C29"/>
    <mergeCell ref="A35:L35"/>
    <mergeCell ref="J39:K39"/>
    <mergeCell ref="G28:H28"/>
    <mergeCell ref="A41:C41"/>
    <mergeCell ref="A43:C43"/>
    <mergeCell ref="G49:H49"/>
    <mergeCell ref="J50:K50"/>
    <mergeCell ref="A39:C39"/>
    <mergeCell ref="A40:C40"/>
    <mergeCell ref="G48:H48"/>
    <mergeCell ref="G43:H43"/>
    <mergeCell ref="G39:H39"/>
    <mergeCell ref="G40:H40"/>
    <mergeCell ref="G41:H41"/>
    <mergeCell ref="K83:L83"/>
    <mergeCell ref="K84:L84"/>
    <mergeCell ref="K85:L85"/>
    <mergeCell ref="K73:L73"/>
    <mergeCell ref="K74:L74"/>
    <mergeCell ref="K76:L76"/>
    <mergeCell ref="A13:C13"/>
    <mergeCell ref="A12:C12"/>
    <mergeCell ref="A15:C15"/>
    <mergeCell ref="G19:H19"/>
    <mergeCell ref="J19:K19"/>
    <mergeCell ref="J16:K16"/>
    <mergeCell ref="G20:H20"/>
    <mergeCell ref="J20:K20"/>
    <mergeCell ref="G29:H29"/>
    <mergeCell ref="J24:K24"/>
    <mergeCell ref="J25:K25"/>
    <mergeCell ref="J26:K26"/>
    <mergeCell ref="J27:K27"/>
    <mergeCell ref="J28:K28"/>
    <mergeCell ref="G24:H24"/>
    <mergeCell ref="G27:H27"/>
    <mergeCell ref="J29:K29"/>
    <mergeCell ref="A45:C45"/>
    <mergeCell ref="A1:B1"/>
    <mergeCell ref="D1:J2"/>
    <mergeCell ref="A8:L8"/>
    <mergeCell ref="B4:I4"/>
    <mergeCell ref="A6:B6"/>
    <mergeCell ref="G13:H13"/>
    <mergeCell ref="G14:H14"/>
    <mergeCell ref="A10:C10"/>
    <mergeCell ref="J49:K49"/>
    <mergeCell ref="J40:K40"/>
    <mergeCell ref="J41:K41"/>
    <mergeCell ref="G46:H46"/>
    <mergeCell ref="J46:K46"/>
    <mergeCell ref="G42:H42"/>
    <mergeCell ref="J42:K42"/>
    <mergeCell ref="D45:K45"/>
    <mergeCell ref="J48:K48"/>
    <mergeCell ref="K1:L1"/>
    <mergeCell ref="K2:L2"/>
    <mergeCell ref="A48:C48"/>
    <mergeCell ref="A42:C42"/>
    <mergeCell ref="A47:C47"/>
    <mergeCell ref="G47:H47"/>
    <mergeCell ref="J47:K47"/>
    <mergeCell ref="J4:L4"/>
    <mergeCell ref="A37:C37"/>
    <mergeCell ref="L10:L11"/>
    <mergeCell ref="G11:H11"/>
    <mergeCell ref="G12:H12"/>
    <mergeCell ref="G15:H15"/>
    <mergeCell ref="D10:K10"/>
    <mergeCell ref="J11:K11"/>
    <mergeCell ref="J12:K12"/>
    <mergeCell ref="L23:L24"/>
    <mergeCell ref="G26:H26"/>
    <mergeCell ref="J13:K13"/>
    <mergeCell ref="J14:K14"/>
    <mergeCell ref="J15:K15"/>
    <mergeCell ref="A11:C11"/>
    <mergeCell ref="A14:C14"/>
    <mergeCell ref="A17:C17"/>
    <mergeCell ref="G17:H17"/>
    <mergeCell ref="J17:K17"/>
    <mergeCell ref="A21:K21"/>
    <mergeCell ref="A30:K30"/>
    <mergeCell ref="A31:K31"/>
  </mergeCells>
  <phoneticPr fontId="2" type="noConversion"/>
  <conditionalFormatting sqref="A60:L109">
    <cfRule type="expression" dxfId="39" priority="1" stopIfTrue="1">
      <formula>$L$33="C Corp"</formula>
    </cfRule>
  </conditionalFormatting>
  <conditionalFormatting sqref="A8:L8">
    <cfRule type="expression" dxfId="38" priority="2" stopIfTrue="1">
      <formula>$A$8&lt;&gt;""</formula>
    </cfRule>
  </conditionalFormatting>
  <conditionalFormatting sqref="A37:L51">
    <cfRule type="expression" dxfId="37" priority="3" stopIfTrue="1">
      <formula>$L$33="C Corp"</formula>
    </cfRule>
  </conditionalFormatting>
  <pageMargins left="0.5" right="0.5" top="0.5" bottom="0.5"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8"/>
  <dimension ref="A1:M24"/>
  <sheetViews>
    <sheetView workbookViewId="0">
      <selection activeCell="I4" sqref="I4"/>
    </sheetView>
  </sheetViews>
  <sheetFormatPr defaultRowHeight="12.75" x14ac:dyDescent="0.2"/>
  <cols>
    <col min="1" max="1" width="13.140625" customWidth="1"/>
    <col min="10" max="10" width="9.5703125" bestFit="1" customWidth="1"/>
    <col min="11" max="11" width="9.28515625" customWidth="1"/>
    <col min="13" max="13" width="9.140625" customWidth="1"/>
  </cols>
  <sheetData>
    <row r="1" spans="1:13" ht="3.75" customHeight="1" x14ac:dyDescent="0.2"/>
    <row r="2" spans="1:13" ht="3.75" customHeight="1" x14ac:dyDescent="0.2"/>
    <row r="3" spans="1:13" x14ac:dyDescent="0.2">
      <c r="A3" s="67" t="s">
        <v>1688</v>
      </c>
    </row>
    <row r="4" spans="1:13" ht="18" x14ac:dyDescent="0.25">
      <c r="A4" s="36" t="s">
        <v>0</v>
      </c>
    </row>
    <row r="5" spans="1:13" x14ac:dyDescent="0.2">
      <c r="A5" s="1428" t="str">
        <f>IF(Data!F44="","",CONCATENATE("Cities that prohibit NOL carryovers: ",Data!F44))</f>
        <v/>
      </c>
      <c r="B5" s="1428"/>
      <c r="C5" s="1428"/>
      <c r="D5" s="1428"/>
      <c r="E5" s="1428"/>
      <c r="F5" s="1428"/>
      <c r="G5" s="1428"/>
      <c r="H5" s="1428"/>
      <c r="I5" s="1428"/>
      <c r="J5" s="1429"/>
      <c r="K5" s="1429"/>
      <c r="L5" s="1429"/>
      <c r="M5" s="1429"/>
    </row>
    <row r="6" spans="1:13" ht="14.1" customHeight="1" x14ac:dyDescent="0.2">
      <c r="A6" s="1430" t="s">
        <v>532</v>
      </c>
      <c r="B6" s="1431"/>
      <c r="C6" s="1313" t="s">
        <v>2</v>
      </c>
      <c r="D6" s="1313"/>
      <c r="E6" s="1313"/>
      <c r="F6" s="1313"/>
      <c r="G6" s="1313"/>
      <c r="H6" s="1313"/>
      <c r="I6" s="1432" t="s">
        <v>483</v>
      </c>
    </row>
    <row r="7" spans="1:13" x14ac:dyDescent="0.2">
      <c r="A7" s="1433" t="s">
        <v>1683</v>
      </c>
      <c r="B7" s="1434"/>
      <c r="C7" s="889">
        <f>'Complete This Page'!D98</f>
        <v>2013</v>
      </c>
      <c r="D7" s="889">
        <f>'Complete This Page'!E98</f>
        <v>2014</v>
      </c>
      <c r="E7" s="889">
        <f>'Complete This Page'!F98</f>
        <v>2015</v>
      </c>
      <c r="F7" s="889">
        <f>'Complete This Page'!G98</f>
        <v>2016</v>
      </c>
      <c r="G7" s="889">
        <f>'Complete This Page'!H98</f>
        <v>2017</v>
      </c>
      <c r="H7" s="889" t="s">
        <v>1713</v>
      </c>
      <c r="I7" s="1432"/>
    </row>
    <row r="8" spans="1:13" x14ac:dyDescent="0.2">
      <c r="A8" s="1438" t="str">
        <f>'Complete This Page'!B99</f>
        <v/>
      </c>
      <c r="B8" s="1310"/>
      <c r="C8" s="924">
        <f>'Complete This Page'!D99</f>
        <v>0</v>
      </c>
      <c r="D8" s="924">
        <f>'Complete This Page'!E99</f>
        <v>0</v>
      </c>
      <c r="E8" s="924">
        <f>'Complete This Page'!F99</f>
        <v>0</v>
      </c>
      <c r="F8" s="924">
        <f>'Complete This Page'!G99</f>
        <v>0</v>
      </c>
      <c r="G8" s="924">
        <f>'Complete This Page'!H99</f>
        <v>0</v>
      </c>
      <c r="H8" s="890">
        <f>'Complete This Page'!J99</f>
        <v>0</v>
      </c>
      <c r="I8" s="927">
        <f>+Data!C33</f>
        <v>0</v>
      </c>
    </row>
    <row r="9" spans="1:13" x14ac:dyDescent="0.2">
      <c r="A9" s="1438" t="str">
        <f>'Complete This Page'!B100</f>
        <v/>
      </c>
      <c r="B9" s="1310"/>
      <c r="C9" s="924">
        <f>'Complete This Page'!D100</f>
        <v>0</v>
      </c>
      <c r="D9" s="924">
        <f>'Complete This Page'!E100</f>
        <v>0</v>
      </c>
      <c r="E9" s="924">
        <f>'Complete This Page'!F100</f>
        <v>0</v>
      </c>
      <c r="F9" s="924">
        <f>'Complete This Page'!G100</f>
        <v>0</v>
      </c>
      <c r="G9" s="924">
        <f>'Complete This Page'!H100</f>
        <v>0</v>
      </c>
      <c r="H9" s="890">
        <f>'Complete This Page'!J100</f>
        <v>0</v>
      </c>
      <c r="I9" s="927">
        <f>+Data!C34</f>
        <v>0</v>
      </c>
    </row>
    <row r="10" spans="1:13" x14ac:dyDescent="0.2">
      <c r="A10" s="1438" t="str">
        <f>'Complete This Page'!B101</f>
        <v/>
      </c>
      <c r="B10" s="1310"/>
      <c r="C10" s="924">
        <f>'Complete This Page'!D101</f>
        <v>0</v>
      </c>
      <c r="D10" s="924">
        <f>'Complete This Page'!E101</f>
        <v>0</v>
      </c>
      <c r="E10" s="924">
        <f>'Complete This Page'!F101</f>
        <v>0</v>
      </c>
      <c r="F10" s="924">
        <f>'Complete This Page'!G101</f>
        <v>0</v>
      </c>
      <c r="G10" s="924">
        <f>'Complete This Page'!H101</f>
        <v>0</v>
      </c>
      <c r="H10" s="890">
        <f>'Complete This Page'!J101</f>
        <v>0</v>
      </c>
      <c r="I10" s="927">
        <f>+Data!C35</f>
        <v>0</v>
      </c>
    </row>
    <row r="11" spans="1:13" x14ac:dyDescent="0.2">
      <c r="A11" s="1438" t="str">
        <f>'Complete This Page'!B102</f>
        <v/>
      </c>
      <c r="B11" s="1310"/>
      <c r="C11" s="924">
        <f>'Complete This Page'!D102</f>
        <v>0</v>
      </c>
      <c r="D11" s="924">
        <f>'Complete This Page'!E102</f>
        <v>0</v>
      </c>
      <c r="E11" s="924">
        <f>'Complete This Page'!F102</f>
        <v>0</v>
      </c>
      <c r="F11" s="924">
        <f>'Complete This Page'!G102</f>
        <v>0</v>
      </c>
      <c r="G11" s="924">
        <f>'Complete This Page'!H102</f>
        <v>0</v>
      </c>
      <c r="H11" s="890">
        <f>'Complete This Page'!J102</f>
        <v>0</v>
      </c>
      <c r="I11" s="927">
        <f>+Data!C36</f>
        <v>0</v>
      </c>
    </row>
    <row r="12" spans="1:13" x14ac:dyDescent="0.2">
      <c r="A12" s="1438" t="str">
        <f>'Complete This Page'!B103</f>
        <v/>
      </c>
      <c r="B12" s="1310"/>
      <c r="C12" s="924">
        <f>'Complete This Page'!D103</f>
        <v>0</v>
      </c>
      <c r="D12" s="924">
        <f>'Complete This Page'!E103</f>
        <v>0</v>
      </c>
      <c r="E12" s="924">
        <f>'Complete This Page'!F103</f>
        <v>0</v>
      </c>
      <c r="F12" s="924">
        <f>'Complete This Page'!G103</f>
        <v>0</v>
      </c>
      <c r="G12" s="924">
        <f>'Complete This Page'!H103</f>
        <v>0</v>
      </c>
      <c r="H12" s="890">
        <f>'Complete This Page'!J103</f>
        <v>0</v>
      </c>
      <c r="I12" s="927">
        <f>+Data!C37</f>
        <v>0</v>
      </c>
    </row>
    <row r="13" spans="1:13" ht="12.75" customHeight="1" x14ac:dyDescent="0.2">
      <c r="A13" s="908" t="s">
        <v>1715</v>
      </c>
      <c r="B13" s="909"/>
      <c r="C13" s="910">
        <f>'Complete This Page'!D108</f>
        <v>0</v>
      </c>
      <c r="D13" s="910">
        <f>'Complete This Page'!E108</f>
        <v>0</v>
      </c>
      <c r="E13" s="910">
        <f>'Complete This Page'!F108</f>
        <v>0</v>
      </c>
      <c r="F13" s="910">
        <f>'Complete This Page'!G108</f>
        <v>0</v>
      </c>
      <c r="G13" s="910">
        <f>'Complete This Page'!H108</f>
        <v>0</v>
      </c>
      <c r="H13" s="911">
        <f>'Complete This Page'!K108</f>
        <v>0</v>
      </c>
      <c r="I13" s="907"/>
    </row>
    <row r="14" spans="1:13" ht="12.75" customHeight="1" x14ac:dyDescent="0.2">
      <c r="A14" s="1435" t="str">
        <f>'Complete This Page'!B109</f>
        <v>The maximum amount of NOL $0 was automatically applied. If you wish to enter a smaller NOL value, please type it in the cell K108 to overwrite.</v>
      </c>
      <c r="B14" s="1436"/>
      <c r="C14" s="1436"/>
      <c r="D14" s="1436"/>
      <c r="E14" s="1436"/>
      <c r="F14" s="1436"/>
      <c r="G14" s="1436"/>
      <c r="H14" s="1436"/>
      <c r="I14" s="1436"/>
      <c r="J14" s="1436"/>
      <c r="K14" s="1436"/>
      <c r="L14" s="1436"/>
      <c r="M14" s="1436"/>
    </row>
    <row r="15" spans="1:13" ht="12.75" customHeight="1" thickBot="1" x14ac:dyDescent="0.25">
      <c r="A15" s="1437"/>
      <c r="B15" s="1437"/>
      <c r="C15" s="1437"/>
      <c r="D15" s="1437"/>
      <c r="E15" s="1437"/>
      <c r="F15" s="1437"/>
      <c r="G15" s="1437"/>
      <c r="H15" s="1437"/>
      <c r="I15" s="1437"/>
      <c r="J15" s="1437"/>
      <c r="K15" s="1437"/>
      <c r="L15" s="1437"/>
      <c r="M15" s="1437"/>
    </row>
    <row r="16" spans="1:13" ht="15" x14ac:dyDescent="0.25">
      <c r="A16" s="882" t="str">
        <f>IF(Data!D33=TRUE,"Local Tax Calc Worksheet","Local Tax Calc Worksheet is applicable if ""Utilizing NOL incurred prior to 1/1/17 first"" is checked")</f>
        <v>Local Tax Calc Worksheet is applicable if "Utilizing NOL incurred prior to 1/1/17 first" is checked</v>
      </c>
      <c r="B16" s="496"/>
      <c r="C16" s="496"/>
      <c r="D16" s="496"/>
      <c r="E16" s="496"/>
      <c r="F16" s="496"/>
      <c r="G16" s="496"/>
      <c r="H16" s="496"/>
      <c r="I16" s="496"/>
      <c r="J16" s="496"/>
      <c r="K16" s="496"/>
      <c r="L16" s="496"/>
      <c r="M16" s="848"/>
    </row>
    <row r="17" spans="1:13" ht="180.75" customHeight="1" x14ac:dyDescent="0.2">
      <c r="A17" s="928" t="s">
        <v>166</v>
      </c>
      <c r="B17" s="929" t="s">
        <v>1720</v>
      </c>
      <c r="C17" s="929" t="s">
        <v>1721</v>
      </c>
      <c r="D17" s="929" t="s">
        <v>1722</v>
      </c>
      <c r="E17" s="929" t="s">
        <v>1723</v>
      </c>
      <c r="F17" s="930" t="s">
        <v>1724</v>
      </c>
      <c r="G17" s="929" t="s">
        <v>1725</v>
      </c>
      <c r="H17" s="929" t="s">
        <v>1726</v>
      </c>
      <c r="I17" s="929" t="s">
        <v>1798</v>
      </c>
      <c r="J17" s="930" t="s">
        <v>1799</v>
      </c>
      <c r="K17" s="929" t="s">
        <v>1729</v>
      </c>
      <c r="L17" s="929" t="s">
        <v>1730</v>
      </c>
      <c r="M17" s="931" t="s">
        <v>1731</v>
      </c>
    </row>
    <row r="18" spans="1:13" ht="12.75" customHeight="1" x14ac:dyDescent="0.2">
      <c r="A18" s="271">
        <f>Data!A273</f>
        <v>0</v>
      </c>
      <c r="B18" s="959">
        <f>'Print Return'!L$37</f>
        <v>0</v>
      </c>
      <c r="C18" s="858" t="str">
        <f>IF(Data!B49=TRUE,1,Data!C273)</f>
        <v/>
      </c>
      <c r="D18" s="859">
        <f t="shared" ref="D18:D20" si="0">B18*IF(ISNUMBER(C18)=TRUE,C18,0)</f>
        <v>0</v>
      </c>
      <c r="E18" s="825">
        <f>Data!E273</f>
        <v>0</v>
      </c>
      <c r="F18" s="826">
        <f>D18-E18</f>
        <v>0</v>
      </c>
      <c r="G18" s="293">
        <f>IF(AND(ISNUMBER(C18)=TRUE, C18&gt;0),F18 / C18,0)</f>
        <v>0</v>
      </c>
      <c r="H18" s="122">
        <f>'Print Return'!L$41</f>
        <v>0</v>
      </c>
      <c r="I18" s="293">
        <f>IF(Data!B40&lt;2015,MIN(G18,H18)/2,0)</f>
        <v>0</v>
      </c>
      <c r="J18" s="293">
        <f>IF(Data!B40&lt;2015,G18-I18,IF(G18-H18&gt;0,G18-H18,0))</f>
        <v>0</v>
      </c>
      <c r="K18" s="293">
        <f>J18*IF(ISNUMBER(C18)=TRUE,C18,0)</f>
        <v>0</v>
      </c>
      <c r="L18" s="860">
        <f>LOOKUP(Data!$B$33,Cities!$A$3:$A$356,Cities!$D$3:$D$356)</f>
        <v>0</v>
      </c>
      <c r="M18" s="861">
        <f>ROUND(K18*L18,0)</f>
        <v>0</v>
      </c>
    </row>
    <row r="19" spans="1:13" x14ac:dyDescent="0.2">
      <c r="A19" s="271">
        <f>Data!A274</f>
        <v>0</v>
      </c>
      <c r="B19" s="959">
        <f>'Print Return'!L$37</f>
        <v>0</v>
      </c>
      <c r="C19" s="858" t="str">
        <f>Data!C274</f>
        <v/>
      </c>
      <c r="D19" s="859">
        <f t="shared" si="0"/>
        <v>0</v>
      </c>
      <c r="E19" s="825">
        <f>Data!E274</f>
        <v>0</v>
      </c>
      <c r="F19" s="826">
        <f t="shared" ref="F19:F22" si="1">D19-E19</f>
        <v>0</v>
      </c>
      <c r="G19" s="293">
        <f t="shared" ref="G19:G22" si="2">IF(AND(ISNUMBER(C19)=TRUE, C19&gt;0),F19 / C19,0)</f>
        <v>0</v>
      </c>
      <c r="H19" s="122">
        <f>'Print Return'!L$41</f>
        <v>0</v>
      </c>
      <c r="I19" s="293">
        <f>IF(Data!B41&lt;2015,MIN(G19,H19)/2,0)</f>
        <v>0</v>
      </c>
      <c r="J19" s="293">
        <f>IF(Data!B41&lt;2015,G19-I19,IF(G19-H19&gt;0,G19-H19,0))</f>
        <v>0</v>
      </c>
      <c r="K19" s="293">
        <f t="shared" ref="K19:K22" si="3">J19*IF(ISNUMBER(C19)=TRUE,C19,0)</f>
        <v>0</v>
      </c>
      <c r="L19" s="860">
        <f>LOOKUP(Data!$B$34,Cities!$A$3:$A$356,Cities!$D$3:$D$356)</f>
        <v>0</v>
      </c>
      <c r="M19" s="861">
        <f t="shared" ref="M19:M22" si="4">ROUND(K19*L19,0)</f>
        <v>0</v>
      </c>
    </row>
    <row r="20" spans="1:13" x14ac:dyDescent="0.2">
      <c r="A20" s="271">
        <f>Data!A275</f>
        <v>0</v>
      </c>
      <c r="B20" s="959">
        <f>'Print Return'!L$37</f>
        <v>0</v>
      </c>
      <c r="C20" s="858" t="str">
        <f>Data!C275</f>
        <v/>
      </c>
      <c r="D20" s="859">
        <f t="shared" si="0"/>
        <v>0</v>
      </c>
      <c r="E20" s="825">
        <f>Data!E275</f>
        <v>0</v>
      </c>
      <c r="F20" s="826">
        <f t="shared" si="1"/>
        <v>0</v>
      </c>
      <c r="G20" s="293">
        <f t="shared" si="2"/>
        <v>0</v>
      </c>
      <c r="H20" s="122">
        <f>'Print Return'!L$41</f>
        <v>0</v>
      </c>
      <c r="I20" s="293">
        <f>IF(Data!B42&lt;2015,MIN(G20,H20)/2,0)</f>
        <v>0</v>
      </c>
      <c r="J20" s="293">
        <f>IF(Data!B42&lt;2015,G20-I20,IF(G20-H20&gt;0,G20-H20,0))</f>
        <v>0</v>
      </c>
      <c r="K20" s="293">
        <f t="shared" si="3"/>
        <v>0</v>
      </c>
      <c r="L20" s="860">
        <f>LOOKUP(Data!$B$35,Cities!$A$3:$A$356,Cities!$D$3:$D$356)</f>
        <v>0</v>
      </c>
      <c r="M20" s="861">
        <f t="shared" si="4"/>
        <v>0</v>
      </c>
    </row>
    <row r="21" spans="1:13" x14ac:dyDescent="0.2">
      <c r="A21" s="271">
        <f>Data!A276</f>
        <v>0</v>
      </c>
      <c r="B21" s="959">
        <f>'Print Return'!L$37</f>
        <v>0</v>
      </c>
      <c r="C21" s="858" t="str">
        <f>Data!C276</f>
        <v/>
      </c>
      <c r="D21" s="859">
        <f>B21*IF(ISNUMBER(C21)=TRUE,C21,0)</f>
        <v>0</v>
      </c>
      <c r="E21" s="825">
        <f>Data!E276</f>
        <v>0</v>
      </c>
      <c r="F21" s="826">
        <f t="shared" si="1"/>
        <v>0</v>
      </c>
      <c r="G21" s="293">
        <f t="shared" si="2"/>
        <v>0</v>
      </c>
      <c r="H21" s="122">
        <f>'Print Return'!L$41</f>
        <v>0</v>
      </c>
      <c r="I21" s="293">
        <f>IF(Data!B43&lt;2015,MIN(G21,H21)/2,0)</f>
        <v>0</v>
      </c>
      <c r="J21" s="293">
        <f>IF(Data!B43&lt;2015,G21-I21,IF(G21-H21&gt;0,G21-H21,0))</f>
        <v>0</v>
      </c>
      <c r="K21" s="293">
        <f t="shared" si="3"/>
        <v>0</v>
      </c>
      <c r="L21" s="860">
        <f>LOOKUP(Data!$B$36,Cities!$A$3:$A$356,Cities!$D$3:$D$356)</f>
        <v>0</v>
      </c>
      <c r="M21" s="861">
        <f t="shared" si="4"/>
        <v>0</v>
      </c>
    </row>
    <row r="22" spans="1:13" x14ac:dyDescent="0.2">
      <c r="A22" s="271">
        <f>Data!A277</f>
        <v>0</v>
      </c>
      <c r="B22" s="959">
        <f>'Print Return'!L$37</f>
        <v>0</v>
      </c>
      <c r="C22" s="858" t="str">
        <f>Data!C277</f>
        <v/>
      </c>
      <c r="D22" s="859">
        <f>B22*IF(ISNUMBER(C22)=TRUE,C22,0)</f>
        <v>0</v>
      </c>
      <c r="E22" s="825">
        <f>Data!E277</f>
        <v>0</v>
      </c>
      <c r="F22" s="826">
        <f t="shared" si="1"/>
        <v>0</v>
      </c>
      <c r="G22" s="293">
        <f t="shared" si="2"/>
        <v>0</v>
      </c>
      <c r="H22" s="122">
        <f>'Print Return'!L$41</f>
        <v>0</v>
      </c>
      <c r="I22" s="293">
        <f>IF(Data!B44&lt;2015,MIN(G22,H22)/2,0)</f>
        <v>0</v>
      </c>
      <c r="J22" s="293">
        <f>IF(Data!B44&lt;2015,G22-I22,IF(G22-H22&gt;0,G22-H22,0))</f>
        <v>0</v>
      </c>
      <c r="K22" s="293">
        <f t="shared" si="3"/>
        <v>0</v>
      </c>
      <c r="L22" s="860">
        <f>LOOKUP(Data!$B$37,Cities!$A$3:$A$356,Cities!$D$3:$D$356)</f>
        <v>0</v>
      </c>
      <c r="M22" s="861">
        <f t="shared" si="4"/>
        <v>0</v>
      </c>
    </row>
    <row r="23" spans="1:13" x14ac:dyDescent="0.2">
      <c r="A23" s="895" t="s">
        <v>1714</v>
      </c>
      <c r="B23" s="896"/>
      <c r="C23" s="900" t="s">
        <v>1732</v>
      </c>
      <c r="D23" s="897"/>
      <c r="E23" s="897" t="s">
        <v>1733</v>
      </c>
      <c r="F23" s="893"/>
      <c r="G23" s="925"/>
      <c r="H23" s="926"/>
      <c r="I23" s="926"/>
      <c r="J23" s="926"/>
      <c r="K23" s="899" t="s">
        <v>1734</v>
      </c>
      <c r="L23" s="926"/>
      <c r="M23" s="898" t="s">
        <v>1735</v>
      </c>
    </row>
    <row r="24" spans="1:13" ht="13.5" thickBot="1" x14ac:dyDescent="0.25">
      <c r="A24" s="267"/>
      <c r="B24" s="862"/>
      <c r="C24" s="892">
        <f>SUM(C18:C22)</f>
        <v>0</v>
      </c>
      <c r="D24" s="862"/>
      <c r="E24" s="863">
        <f>SUM(E18:E22)</f>
        <v>0</v>
      </c>
      <c r="F24" s="862"/>
      <c r="G24" s="862"/>
      <c r="H24" s="965">
        <f>IF(Overflow!F112&gt;0,Overflow!F112, MAX(J18:J22))</f>
        <v>0</v>
      </c>
      <c r="I24" s="965">
        <f>IF('Overflows Worksheet'!J400&gt;0,'Overflows Worksheet'!J400, FLOOR(MAX(I18:I22),1))</f>
        <v>0</v>
      </c>
      <c r="J24" s="938">
        <f>IF('Overflows Worksheet'!J400&gt;0,'Overflows Worksheet'!J400, MAX(J18:J22))</f>
        <v>0</v>
      </c>
      <c r="K24" s="962">
        <f>IF(Overflow!F113&gt;0,Overflow!F113,SUM(J18:J22))</f>
        <v>0</v>
      </c>
      <c r="L24" s="862"/>
      <c r="M24" s="864">
        <f>SUM(M18:M22)</f>
        <v>0</v>
      </c>
    </row>
  </sheetData>
  <sheetProtection algorithmName="SHA-512" hashValue="1mFEqmQ+wpL/bHYRPFo5bm6+7ddBz984/Gf7k2q5chubBdM94UQeXqwLo0L/nXcH7I0AScWLVuX8IoqG5PL5rQ==" saltValue="dE7yHQL+4ICTfxODcEhEfA==" spinCount="100000" sheet="1" objects="1" scenarios="1"/>
  <mergeCells count="11">
    <mergeCell ref="A14:M15"/>
    <mergeCell ref="A8:B8"/>
    <mergeCell ref="A9:B9"/>
    <mergeCell ref="A10:B10"/>
    <mergeCell ref="A11:B11"/>
    <mergeCell ref="A12:B12"/>
    <mergeCell ref="A5:M5"/>
    <mergeCell ref="A6:B6"/>
    <mergeCell ref="C6:H6"/>
    <mergeCell ref="I6:I7"/>
    <mergeCell ref="A7:B7"/>
  </mergeCells>
  <pageMargins left="0.7" right="0.7" top="0.75" bottom="0.75" header="0.3" footer="0.3"/>
  <pageSetup orientation="landscape" r:id="rId1"/>
  <extLst>
    <ext xmlns:x14="http://schemas.microsoft.com/office/spreadsheetml/2009/9/main" uri="{78C0D931-6437-407d-A8EE-F0AAD7539E65}">
      <x14:conditionalFormattings>
        <x14:conditionalFormatting xmlns:xm="http://schemas.microsoft.com/office/excel/2006/main">
          <x14:cfRule type="expression" priority="2" stopIfTrue="1" id="{6457AB57-2864-4FB6-A0CF-EBBDCBC803B8}">
            <xm:f>'Fed Carryovers'!#REF!&lt;&gt;""</xm:f>
            <x14:dxf>
              <fill>
                <patternFill>
                  <bgColor indexed="34"/>
                </patternFill>
              </fill>
            </x14:dxf>
          </x14:cfRule>
          <xm:sqref>A5:I5</xm:sqref>
        </x14:conditionalFormatting>
        <x14:conditionalFormatting xmlns:xm="http://schemas.microsoft.com/office/excel/2006/main">
          <x14:cfRule type="expression" priority="1" id="{2E92B849-38F0-439C-98FF-349A5D493CEB}">
            <xm:f xml:space="preserve"> Data!$D$33=FALSE</xm:f>
            <x14:dxf>
              <font>
                <color theme="0"/>
              </font>
            </x14:dxf>
          </x14:cfRule>
          <xm:sqref>A17:M24</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9"/>
  <dimension ref="A1:M36"/>
  <sheetViews>
    <sheetView workbookViewId="0">
      <selection activeCell="A8" sqref="A8:B8"/>
    </sheetView>
  </sheetViews>
  <sheetFormatPr defaultRowHeight="12.75" x14ac:dyDescent="0.2"/>
  <cols>
    <col min="1" max="1" width="13.140625" customWidth="1"/>
    <col min="13" max="13" width="9.140625" customWidth="1"/>
  </cols>
  <sheetData>
    <row r="1" spans="1:13" ht="3.75" customHeight="1" x14ac:dyDescent="0.2"/>
    <row r="2" spans="1:13" ht="3.75" customHeight="1" x14ac:dyDescent="0.2"/>
    <row r="3" spans="1:13" x14ac:dyDescent="0.2">
      <c r="A3" s="67" t="s">
        <v>1688</v>
      </c>
    </row>
    <row r="4" spans="1:13" ht="18" x14ac:dyDescent="0.25">
      <c r="A4" s="36" t="s">
        <v>0</v>
      </c>
    </row>
    <row r="5" spans="1:13" x14ac:dyDescent="0.2">
      <c r="A5" s="1428" t="str">
        <f>IF(Data!F44="","",CONCATENATE("Cities that prohibit NOL carryovers: ",Data!F44))</f>
        <v/>
      </c>
      <c r="B5" s="1428"/>
      <c r="C5" s="1428"/>
      <c r="D5" s="1428"/>
      <c r="E5" s="1428"/>
      <c r="F5" s="1428"/>
      <c r="G5" s="1428"/>
      <c r="H5" s="1428"/>
      <c r="I5" s="1428"/>
      <c r="J5" s="1429"/>
      <c r="K5" s="1429"/>
      <c r="L5" s="1429"/>
      <c r="M5" s="1429"/>
    </row>
    <row r="6" spans="1:13" ht="14.1" customHeight="1" x14ac:dyDescent="0.2">
      <c r="A6" s="1430" t="s">
        <v>532</v>
      </c>
      <c r="B6" s="1431"/>
      <c r="C6" s="1313" t="s">
        <v>2</v>
      </c>
      <c r="D6" s="1313"/>
      <c r="E6" s="1313"/>
      <c r="F6" s="1313"/>
      <c r="G6" s="1313"/>
      <c r="H6" s="1313"/>
      <c r="I6" s="1432" t="s">
        <v>483</v>
      </c>
    </row>
    <row r="7" spans="1:13" x14ac:dyDescent="0.2">
      <c r="A7" s="1433" t="s">
        <v>1683</v>
      </c>
      <c r="B7" s="1434"/>
      <c r="C7" s="889">
        <f>'Complete This Page'!D98</f>
        <v>2013</v>
      </c>
      <c r="D7" s="889">
        <f>'Complete This Page'!E98</f>
        <v>2014</v>
      </c>
      <c r="E7" s="889">
        <f>'Complete This Page'!F98</f>
        <v>2015</v>
      </c>
      <c r="F7" s="889">
        <f>'Complete This Page'!G98</f>
        <v>2016</v>
      </c>
      <c r="G7" s="889">
        <f>'Complete This Page'!H98</f>
        <v>2017</v>
      </c>
      <c r="H7" s="889" t="s">
        <v>1713</v>
      </c>
      <c r="I7" s="1432"/>
    </row>
    <row r="8" spans="1:13" x14ac:dyDescent="0.2">
      <c r="A8" s="1438" t="str">
        <f>'Complete This Page'!B99</f>
        <v/>
      </c>
      <c r="B8" s="1310"/>
      <c r="C8" s="841">
        <f>'Complete This Page'!D99</f>
        <v>0</v>
      </c>
      <c r="D8" s="841">
        <f>'Complete This Page'!E99</f>
        <v>0</v>
      </c>
      <c r="E8" s="841">
        <f>'Complete This Page'!F99</f>
        <v>0</v>
      </c>
      <c r="F8" s="841">
        <f>'Complete This Page'!G99</f>
        <v>0</v>
      </c>
      <c r="G8" s="841">
        <f>'Complete This Page'!H99</f>
        <v>0</v>
      </c>
      <c r="H8" s="890">
        <f>'Complete This Page'!J99</f>
        <v>0</v>
      </c>
      <c r="I8" s="891">
        <f>+Data!C33</f>
        <v>0</v>
      </c>
    </row>
    <row r="9" spans="1:13" x14ac:dyDescent="0.2">
      <c r="A9" s="1438" t="str">
        <f>'Complete This Page'!B100</f>
        <v/>
      </c>
      <c r="B9" s="1310"/>
      <c r="C9" s="841">
        <f>'Complete This Page'!D100</f>
        <v>0</v>
      </c>
      <c r="D9" s="841">
        <f>'Complete This Page'!E100</f>
        <v>0</v>
      </c>
      <c r="E9" s="841">
        <f>'Complete This Page'!F100</f>
        <v>0</v>
      </c>
      <c r="F9" s="841">
        <f>'Complete This Page'!G100</f>
        <v>0</v>
      </c>
      <c r="G9" s="841">
        <f>'Complete This Page'!H100</f>
        <v>0</v>
      </c>
      <c r="H9" s="890">
        <f>'Complete This Page'!J100</f>
        <v>0</v>
      </c>
      <c r="I9" s="891">
        <f>+Data!C34</f>
        <v>0</v>
      </c>
    </row>
    <row r="10" spans="1:13" x14ac:dyDescent="0.2">
      <c r="A10" s="1438" t="str">
        <f>'Complete This Page'!B101</f>
        <v/>
      </c>
      <c r="B10" s="1310"/>
      <c r="C10" s="841">
        <f>'Complete This Page'!D101</f>
        <v>0</v>
      </c>
      <c r="D10" s="841">
        <f>'Complete This Page'!E101</f>
        <v>0</v>
      </c>
      <c r="E10" s="841">
        <f>'Complete This Page'!F101</f>
        <v>0</v>
      </c>
      <c r="F10" s="841">
        <f>'Complete This Page'!G101</f>
        <v>0</v>
      </c>
      <c r="G10" s="841">
        <f>'Complete This Page'!H101</f>
        <v>0</v>
      </c>
      <c r="H10" s="890">
        <f>'Complete This Page'!J101</f>
        <v>0</v>
      </c>
      <c r="I10" s="891">
        <f>+Data!C35</f>
        <v>0</v>
      </c>
    </row>
    <row r="11" spans="1:13" x14ac:dyDescent="0.2">
      <c r="A11" s="1438" t="str">
        <f>'Complete This Page'!B102</f>
        <v/>
      </c>
      <c r="B11" s="1310"/>
      <c r="C11" s="841">
        <f>'Complete This Page'!D102</f>
        <v>0</v>
      </c>
      <c r="D11" s="841">
        <f>'Complete This Page'!E102</f>
        <v>0</v>
      </c>
      <c r="E11" s="841">
        <f>'Complete This Page'!F102</f>
        <v>0</v>
      </c>
      <c r="F11" s="841">
        <f>'Complete This Page'!G102</f>
        <v>0</v>
      </c>
      <c r="G11" s="841">
        <f>'Complete This Page'!H102</f>
        <v>0</v>
      </c>
      <c r="H11" s="890">
        <f>'Complete This Page'!J102</f>
        <v>0</v>
      </c>
      <c r="I11" s="891">
        <f>+Data!C36</f>
        <v>0</v>
      </c>
    </row>
    <row r="12" spans="1:13" x14ac:dyDescent="0.2">
      <c r="A12" s="1438" t="str">
        <f>'Complete This Page'!B103</f>
        <v/>
      </c>
      <c r="B12" s="1310"/>
      <c r="C12" s="841">
        <f>'Complete This Page'!D103</f>
        <v>0</v>
      </c>
      <c r="D12" s="841">
        <f>'Complete This Page'!E103</f>
        <v>0</v>
      </c>
      <c r="E12" s="841">
        <f>'Complete This Page'!F103</f>
        <v>0</v>
      </c>
      <c r="F12" s="841">
        <f>'Complete This Page'!G103</f>
        <v>0</v>
      </c>
      <c r="G12" s="841">
        <f>'Complete This Page'!H103</f>
        <v>0</v>
      </c>
      <c r="H12" s="890">
        <f>'Complete This Page'!J103</f>
        <v>0</v>
      </c>
      <c r="I12" s="891">
        <f>+Data!C37</f>
        <v>0</v>
      </c>
    </row>
    <row r="13" spans="1:13" ht="12.75" customHeight="1" x14ac:dyDescent="0.2">
      <c r="A13" s="908" t="s">
        <v>1715</v>
      </c>
      <c r="B13" s="909"/>
      <c r="C13" s="910">
        <f>'Complete This Page'!D108</f>
        <v>0</v>
      </c>
      <c r="D13" s="910">
        <f>'Complete This Page'!E108</f>
        <v>0</v>
      </c>
      <c r="E13" s="910">
        <f>'Complete This Page'!F108</f>
        <v>0</v>
      </c>
      <c r="F13" s="910">
        <f>'Complete This Page'!G108</f>
        <v>0</v>
      </c>
      <c r="G13" s="910">
        <f>'Complete This Page'!H108</f>
        <v>0</v>
      </c>
      <c r="H13" s="911">
        <f>'Complete This Page'!K108</f>
        <v>0</v>
      </c>
      <c r="I13" s="907"/>
    </row>
    <row r="14" spans="1:13" ht="3.75" customHeight="1" x14ac:dyDescent="0.2">
      <c r="A14" s="15"/>
      <c r="K14" s="86"/>
    </row>
    <row r="15" spans="1:13" ht="3.75" customHeight="1" thickBot="1" x14ac:dyDescent="0.25"/>
    <row r="16" spans="1:13" ht="15" x14ac:dyDescent="0.25">
      <c r="A16" s="882" t="s">
        <v>1719</v>
      </c>
      <c r="B16" s="496"/>
      <c r="C16" s="496"/>
      <c r="D16" s="496"/>
      <c r="E16" s="496"/>
      <c r="F16" s="496"/>
      <c r="G16" s="496"/>
      <c r="H16" s="496"/>
      <c r="I16" s="496"/>
      <c r="J16" s="496"/>
      <c r="K16" s="496"/>
      <c r="L16" s="496"/>
      <c r="M16" s="848"/>
    </row>
    <row r="17" spans="1:13" ht="66" customHeight="1" x14ac:dyDescent="0.2">
      <c r="A17" s="883" t="s">
        <v>166</v>
      </c>
      <c r="B17" s="884" t="s">
        <v>1720</v>
      </c>
      <c r="C17" s="884" t="s">
        <v>1721</v>
      </c>
      <c r="D17" s="884" t="s">
        <v>1722</v>
      </c>
      <c r="E17" s="884" t="s">
        <v>1723</v>
      </c>
      <c r="F17" s="885" t="s">
        <v>1724</v>
      </c>
      <c r="G17" s="886" t="s">
        <v>1725</v>
      </c>
      <c r="H17" s="886" t="s">
        <v>1726</v>
      </c>
      <c r="I17" s="886" t="s">
        <v>1727</v>
      </c>
      <c r="J17" s="887" t="s">
        <v>1728</v>
      </c>
      <c r="K17" s="886" t="s">
        <v>1729</v>
      </c>
      <c r="L17" s="886" t="s">
        <v>1730</v>
      </c>
      <c r="M17" s="888" t="s">
        <v>1731</v>
      </c>
    </row>
    <row r="18" spans="1:13" ht="12.75" customHeight="1" x14ac:dyDescent="0.2">
      <c r="A18" s="271">
        <f>Data!A273</f>
        <v>0</v>
      </c>
      <c r="B18" s="857">
        <f>'Print Return'!L$37</f>
        <v>0</v>
      </c>
      <c r="C18" s="858" t="str">
        <f>Data!C273</f>
        <v/>
      </c>
      <c r="D18" s="859">
        <f t="shared" ref="D18:D20" si="0">B18*IF(ISNUMBER(C18)=TRUE,C18,0)</f>
        <v>0</v>
      </c>
      <c r="E18" s="825">
        <f>Data!E273</f>
        <v>0</v>
      </c>
      <c r="F18" s="826">
        <f>D18-E18</f>
        <v>0</v>
      </c>
      <c r="G18" s="293">
        <f>IF(ISNUMBER(C18)=TRUE,F18 / C18,0)</f>
        <v>0</v>
      </c>
      <c r="H18" s="122">
        <f>'Print Return'!L$41</f>
        <v>0</v>
      </c>
      <c r="I18" s="293">
        <f>IF(Data!B40&lt;2015,MIN(G18,H18)/2,0)</f>
        <v>0</v>
      </c>
      <c r="J18" s="293">
        <f>IF(Data!B40&lt;2015,G18-I18,IF(G18-H18&gt;0,G18-H18,0))</f>
        <v>0</v>
      </c>
      <c r="K18" s="293">
        <f>J18*IF(ISNUMBER(C18)=TRUE,C18,0)</f>
        <v>0</v>
      </c>
      <c r="L18" s="860">
        <f>LOOKUP(Data!$B$33,Cities!$A$3:$A$356,Cities!$D$3:$D$356)</f>
        <v>0</v>
      </c>
      <c r="M18" s="861">
        <f>ROUND(K18*L18, 0)</f>
        <v>0</v>
      </c>
    </row>
    <row r="19" spans="1:13" x14ac:dyDescent="0.2">
      <c r="A19" s="271">
        <f>Data!A274</f>
        <v>0</v>
      </c>
      <c r="B19" s="857">
        <f>'Print Return'!L$37</f>
        <v>0</v>
      </c>
      <c r="C19" s="858" t="str">
        <f>Data!C274</f>
        <v/>
      </c>
      <c r="D19" s="859">
        <f t="shared" si="0"/>
        <v>0</v>
      </c>
      <c r="E19" s="825">
        <f>Data!E274</f>
        <v>0</v>
      </c>
      <c r="F19" s="826">
        <f t="shared" ref="F19:F22" si="1">D19-E19</f>
        <v>0</v>
      </c>
      <c r="G19" s="293">
        <f t="shared" ref="G19:G22" si="2">IF(ISNUMBER(C19)=TRUE,F19 / C19,0)</f>
        <v>0</v>
      </c>
      <c r="H19" s="122">
        <f>'Print Return'!L$41</f>
        <v>0</v>
      </c>
      <c r="I19" s="293">
        <f>IF(Data!B41&lt;2015,MIN(G19,H19)/2,0)</f>
        <v>0</v>
      </c>
      <c r="J19" s="293">
        <f>IF(Data!B41&lt;2015,G19-I19,IF(G19-H19&gt;0,G19-H19,0))</f>
        <v>0</v>
      </c>
      <c r="K19" s="293">
        <f t="shared" ref="K19:K22" si="3">J19*IF(ISNUMBER(C19)=TRUE,C19,0)</f>
        <v>0</v>
      </c>
      <c r="L19" s="860">
        <f>LOOKUP(Data!$B$34,Cities!$A$3:$A$356,Cities!$D$3:$D$356)</f>
        <v>0</v>
      </c>
      <c r="M19" s="861">
        <f t="shared" ref="M19:M22" si="4">ROUND(K19*L19, 0)</f>
        <v>0</v>
      </c>
    </row>
    <row r="20" spans="1:13" x14ac:dyDescent="0.2">
      <c r="A20" s="271">
        <f>Data!A275</f>
        <v>0</v>
      </c>
      <c r="B20" s="857">
        <f>'Print Return'!L$37</f>
        <v>0</v>
      </c>
      <c r="C20" s="858" t="str">
        <f>Data!C275</f>
        <v/>
      </c>
      <c r="D20" s="859">
        <f t="shared" si="0"/>
        <v>0</v>
      </c>
      <c r="E20" s="825">
        <f>Data!E275</f>
        <v>0</v>
      </c>
      <c r="F20" s="826">
        <f t="shared" si="1"/>
        <v>0</v>
      </c>
      <c r="G20" s="293">
        <f t="shared" si="2"/>
        <v>0</v>
      </c>
      <c r="H20" s="122">
        <f>'Print Return'!L$41</f>
        <v>0</v>
      </c>
      <c r="I20" s="293">
        <f>IF(Data!B42&lt;2015,MIN(G20,H20)/2,0)</f>
        <v>0</v>
      </c>
      <c r="J20" s="293">
        <f>IF(Data!B42&lt;2015,G20-I20,IF(G20-H20&gt;0,G20-H20,0))</f>
        <v>0</v>
      </c>
      <c r="K20" s="293">
        <f t="shared" si="3"/>
        <v>0</v>
      </c>
      <c r="L20" s="860">
        <f>LOOKUP(Data!$B$35,Cities!$A$3:$A$356,Cities!$D$3:$D$356)</f>
        <v>0</v>
      </c>
      <c r="M20" s="861">
        <f t="shared" si="4"/>
        <v>0</v>
      </c>
    </row>
    <row r="21" spans="1:13" x14ac:dyDescent="0.2">
      <c r="A21" s="271">
        <f>Data!A276</f>
        <v>0</v>
      </c>
      <c r="B21" s="857">
        <f>'Print Return'!L$37</f>
        <v>0</v>
      </c>
      <c r="C21" s="858" t="str">
        <f>Data!C276</f>
        <v/>
      </c>
      <c r="D21" s="859">
        <f>B21*IF(ISNUMBER(C21)=TRUE,C21,0)</f>
        <v>0</v>
      </c>
      <c r="E21" s="825">
        <f>Data!E276</f>
        <v>0</v>
      </c>
      <c r="F21" s="826">
        <f t="shared" si="1"/>
        <v>0</v>
      </c>
      <c r="G21" s="293">
        <f t="shared" si="2"/>
        <v>0</v>
      </c>
      <c r="H21" s="122">
        <f>'Print Return'!L$41</f>
        <v>0</v>
      </c>
      <c r="I21" s="293">
        <f>IF(Data!B43&lt;2015,MIN(G21,H21)/2,0)</f>
        <v>0</v>
      </c>
      <c r="J21" s="293">
        <f>IF(Data!B43&lt;2015,G21-I21,IF(G21-H21&gt;0,G21-H21,0))</f>
        <v>0</v>
      </c>
      <c r="K21" s="293">
        <f t="shared" si="3"/>
        <v>0</v>
      </c>
      <c r="L21" s="860">
        <f>LOOKUP(Data!$B$36,Cities!$A$3:$A$356,Cities!$D$3:$D$356)</f>
        <v>0</v>
      </c>
      <c r="M21" s="861">
        <f t="shared" si="4"/>
        <v>0</v>
      </c>
    </row>
    <row r="22" spans="1:13" x14ac:dyDescent="0.2">
      <c r="A22" s="271">
        <f>Data!A277</f>
        <v>0</v>
      </c>
      <c r="B22" s="857">
        <f>'Print Return'!L$37</f>
        <v>0</v>
      </c>
      <c r="C22" s="858" t="str">
        <f>Data!C277</f>
        <v/>
      </c>
      <c r="D22" s="859">
        <f>B22*IF(ISNUMBER(C22)=TRUE,C22,0)</f>
        <v>0</v>
      </c>
      <c r="E22" s="825">
        <f>Data!E277</f>
        <v>0</v>
      </c>
      <c r="F22" s="826">
        <f t="shared" si="1"/>
        <v>0</v>
      </c>
      <c r="G22" s="293">
        <f t="shared" si="2"/>
        <v>0</v>
      </c>
      <c r="H22" s="122">
        <f>'Print Return'!L$41</f>
        <v>0</v>
      </c>
      <c r="I22" s="293">
        <f>IF(Data!B44&lt;2015,MIN(G22,H22)/2,0)</f>
        <v>0</v>
      </c>
      <c r="J22" s="293">
        <f>IF(Data!B44&lt;2015,G22-I22,IF(G22-H22&gt;0,G22-H22,0))</f>
        <v>0</v>
      </c>
      <c r="K22" s="293">
        <f t="shared" si="3"/>
        <v>0</v>
      </c>
      <c r="L22" s="860">
        <f>LOOKUP(Data!$B$37,Cities!$A$3:$A$356,Cities!$D$3:$D$356)</f>
        <v>0</v>
      </c>
      <c r="M22" s="861">
        <f t="shared" si="4"/>
        <v>0</v>
      </c>
    </row>
    <row r="23" spans="1:13" x14ac:dyDescent="0.2">
      <c r="A23" s="895" t="s">
        <v>1714</v>
      </c>
      <c r="B23" s="896"/>
      <c r="C23" s="900" t="s">
        <v>1732</v>
      </c>
      <c r="D23" s="897"/>
      <c r="E23" s="897" t="s">
        <v>1733</v>
      </c>
      <c r="F23" s="893"/>
      <c r="G23" s="894"/>
      <c r="H23" s="843"/>
      <c r="I23" s="843"/>
      <c r="J23" s="843"/>
      <c r="K23" s="899" t="s">
        <v>1734</v>
      </c>
      <c r="L23" s="843"/>
      <c r="M23" s="898" t="s">
        <v>1735</v>
      </c>
    </row>
    <row r="24" spans="1:13" ht="13.5" thickBot="1" x14ac:dyDescent="0.25">
      <c r="A24" s="267"/>
      <c r="B24" s="862"/>
      <c r="C24" s="892">
        <f>SUM(C18:C22)</f>
        <v>0</v>
      </c>
      <c r="D24" s="862"/>
      <c r="E24" s="863">
        <f>SUM(E18:E22)</f>
        <v>0</v>
      </c>
      <c r="F24" s="862"/>
      <c r="G24" s="862"/>
      <c r="H24" s="862"/>
      <c r="I24" s="862"/>
      <c r="J24" s="862"/>
      <c r="K24" s="865">
        <f>SUM(K18:K22)</f>
        <v>0</v>
      </c>
      <c r="L24" s="862"/>
      <c r="M24" s="864">
        <f>SUM(M18:M22)</f>
        <v>0</v>
      </c>
    </row>
    <row r="25" spans="1:13" ht="3.75" customHeight="1" x14ac:dyDescent="0.2"/>
    <row r="26" spans="1:13" ht="3.75" customHeight="1" x14ac:dyDescent="0.2"/>
    <row r="27" spans="1:13" ht="3.75" customHeight="1" thickBot="1" x14ac:dyDescent="0.25"/>
    <row r="28" spans="1:13" ht="15" x14ac:dyDescent="0.25">
      <c r="A28" s="882" t="s">
        <v>1737</v>
      </c>
      <c r="B28" s="496"/>
      <c r="C28" s="496"/>
      <c r="D28" s="496"/>
      <c r="E28" s="496"/>
      <c r="F28" s="496"/>
      <c r="G28" s="496"/>
      <c r="H28" s="496"/>
      <c r="I28" s="496"/>
      <c r="J28" s="496"/>
      <c r="K28" s="496"/>
      <c r="L28" s="496"/>
      <c r="M28" s="848"/>
    </row>
    <row r="29" spans="1:13" ht="65.25" customHeight="1" x14ac:dyDescent="0.2">
      <c r="A29" s="883" t="s">
        <v>166</v>
      </c>
      <c r="B29" s="884" t="s">
        <v>1740</v>
      </c>
      <c r="C29" s="884" t="s">
        <v>1736</v>
      </c>
      <c r="D29" s="884" t="s">
        <v>1741</v>
      </c>
      <c r="E29" s="884" t="s">
        <v>1699</v>
      </c>
      <c r="F29" s="222"/>
      <c r="G29" s="222"/>
      <c r="H29" s="222"/>
      <c r="I29" s="222"/>
      <c r="J29" s="222"/>
      <c r="K29" s="901" t="s">
        <v>1700</v>
      </c>
      <c r="L29" s="902" t="s">
        <v>1742</v>
      </c>
      <c r="M29" s="888" t="s">
        <v>1743</v>
      </c>
    </row>
    <row r="30" spans="1:13" x14ac:dyDescent="0.2">
      <c r="A30" s="271">
        <f>Data!A273</f>
        <v>0</v>
      </c>
      <c r="B30" s="857">
        <f>IF(Data!B40&lt;2015,'Print Return'!L$45,J18)</f>
        <v>0</v>
      </c>
      <c r="C30" s="858" t="str">
        <f>Data!C273</f>
        <v/>
      </c>
      <c r="D30" s="859">
        <f t="shared" ref="D30:D32" si="5">B30*IF(ISNUMBER(C30)=TRUE,C30,0)</f>
        <v>0</v>
      </c>
      <c r="E30" s="825">
        <f>Data!E273</f>
        <v>0</v>
      </c>
      <c r="F30" s="24"/>
      <c r="G30" s="16"/>
      <c r="H30" s="16"/>
      <c r="I30" s="16"/>
      <c r="J30" s="646"/>
      <c r="K30" s="826">
        <f>IF(B30&gt;0,D30-E30,0)</f>
        <v>0</v>
      </c>
      <c r="L30" s="860">
        <f>LOOKUP(Data!$B$33,Cities!$A$3:$A$356,Cities!$D$3:$D$356)</f>
        <v>0</v>
      </c>
      <c r="M30" s="861">
        <f>ROUND(K30*L30,0)</f>
        <v>0</v>
      </c>
    </row>
    <row r="31" spans="1:13" x14ac:dyDescent="0.2">
      <c r="A31" s="271">
        <f>Data!A274</f>
        <v>0</v>
      </c>
      <c r="B31" s="857">
        <f>IF(Data!B41&lt;2015,'Print Return'!L$45,J19)</f>
        <v>0</v>
      </c>
      <c r="C31" s="858" t="str">
        <f>Data!C274</f>
        <v/>
      </c>
      <c r="D31" s="859">
        <f t="shared" si="5"/>
        <v>0</v>
      </c>
      <c r="E31" s="825">
        <f>Data!E274</f>
        <v>0</v>
      </c>
      <c r="F31" s="24"/>
      <c r="G31" s="16"/>
      <c r="H31" s="16"/>
      <c r="I31" s="16"/>
      <c r="J31" s="646"/>
      <c r="K31" s="826">
        <f t="shared" ref="K31:K34" si="6">IF(B31&gt;0,D31-E31,0)</f>
        <v>0</v>
      </c>
      <c r="L31" s="860">
        <f>LOOKUP(Data!$B$34,Cities!$A$3:$A$356,Cities!$D$3:$D$356)</f>
        <v>0</v>
      </c>
      <c r="M31" s="861">
        <f t="shared" ref="M31:M34" si="7">ROUND(K31*L31,0)</f>
        <v>0</v>
      </c>
    </row>
    <row r="32" spans="1:13" x14ac:dyDescent="0.2">
      <c r="A32" s="271">
        <f>Data!A275</f>
        <v>0</v>
      </c>
      <c r="B32" s="857">
        <f>IF(Data!B42&lt;2015,'Print Return'!L$45,J20)</f>
        <v>0</v>
      </c>
      <c r="C32" s="858" t="str">
        <f>Data!C275</f>
        <v/>
      </c>
      <c r="D32" s="859">
        <f t="shared" si="5"/>
        <v>0</v>
      </c>
      <c r="E32" s="825">
        <f>Data!E275</f>
        <v>0</v>
      </c>
      <c r="F32" s="24"/>
      <c r="G32" s="16"/>
      <c r="H32" s="16"/>
      <c r="I32" s="16"/>
      <c r="J32" s="646"/>
      <c r="K32" s="826">
        <f t="shared" si="6"/>
        <v>0</v>
      </c>
      <c r="L32" s="860">
        <f>LOOKUP(Data!$B$35,Cities!$A$3:$A$356,Cities!$D$3:$D$356)</f>
        <v>0</v>
      </c>
      <c r="M32" s="861">
        <f t="shared" si="7"/>
        <v>0</v>
      </c>
    </row>
    <row r="33" spans="1:13" x14ac:dyDescent="0.2">
      <c r="A33" s="271">
        <f>Data!A276</f>
        <v>0</v>
      </c>
      <c r="B33" s="857">
        <f>IF(Data!B43&lt;2015,'Print Return'!L$45,J21)</f>
        <v>0</v>
      </c>
      <c r="C33" s="858" t="str">
        <f>Data!C276</f>
        <v/>
      </c>
      <c r="D33" s="859">
        <f>B33*IF(ISNUMBER(C33)=TRUE,C33,0)</f>
        <v>0</v>
      </c>
      <c r="E33" s="825">
        <f>Data!E276</f>
        <v>0</v>
      </c>
      <c r="F33" s="24"/>
      <c r="G33" s="16"/>
      <c r="H33" s="16"/>
      <c r="I33" s="16"/>
      <c r="J33" s="646"/>
      <c r="K33" s="826">
        <f t="shared" si="6"/>
        <v>0</v>
      </c>
      <c r="L33" s="860">
        <f>LOOKUP(Data!$B$36,Cities!$A$3:$A$356,Cities!$D$3:$D$356)</f>
        <v>0</v>
      </c>
      <c r="M33" s="861">
        <f t="shared" si="7"/>
        <v>0</v>
      </c>
    </row>
    <row r="34" spans="1:13" x14ac:dyDescent="0.2">
      <c r="A34" s="271">
        <f>Data!A277</f>
        <v>0</v>
      </c>
      <c r="B34" s="857">
        <f>IF(Data!B44&lt;2015,'Print Return'!L$45,J22)</f>
        <v>0</v>
      </c>
      <c r="C34" s="858" t="str">
        <f>Data!C277</f>
        <v/>
      </c>
      <c r="D34" s="859">
        <f>B34*IF(ISNUMBER(C34)=TRUE,C34,0)</f>
        <v>0</v>
      </c>
      <c r="E34" s="825">
        <f>Data!E277</f>
        <v>0</v>
      </c>
      <c r="F34" s="24"/>
      <c r="G34" s="16"/>
      <c r="H34" s="16"/>
      <c r="I34" s="16"/>
      <c r="J34" s="646"/>
      <c r="K34" s="826">
        <f t="shared" si="6"/>
        <v>0</v>
      </c>
      <c r="L34" s="860">
        <f>LOOKUP(Data!$B$37,Cities!$A$3:$A$356,Cities!$D$3:$D$356)</f>
        <v>0</v>
      </c>
      <c r="M34" s="861">
        <f t="shared" si="7"/>
        <v>0</v>
      </c>
    </row>
    <row r="35" spans="1:13" x14ac:dyDescent="0.2">
      <c r="A35" s="895" t="s">
        <v>1714</v>
      </c>
      <c r="B35" s="896"/>
      <c r="C35" s="900" t="s">
        <v>1732</v>
      </c>
      <c r="D35" s="903"/>
      <c r="E35" s="904" t="s">
        <v>1738</v>
      </c>
      <c r="F35" s="24"/>
      <c r="G35" s="16"/>
      <c r="H35" s="16"/>
      <c r="I35" s="16"/>
      <c r="J35" s="646"/>
      <c r="K35" s="905" t="s">
        <v>1739</v>
      </c>
      <c r="L35" s="843"/>
      <c r="M35" s="898" t="s">
        <v>1735</v>
      </c>
    </row>
    <row r="36" spans="1:13" ht="13.5" thickBot="1" x14ac:dyDescent="0.25">
      <c r="A36" s="267"/>
      <c r="B36" s="862"/>
      <c r="C36" s="892">
        <f>SUM(C30:C34)</f>
        <v>0</v>
      </c>
      <c r="D36" s="862"/>
      <c r="E36" s="863">
        <f>SUM(E30:E34)</f>
        <v>0</v>
      </c>
      <c r="F36" s="434"/>
      <c r="G36" s="253"/>
      <c r="H36" s="253"/>
      <c r="I36" s="253"/>
      <c r="J36" s="906"/>
      <c r="K36" s="865">
        <f>SUM(K30:K34)</f>
        <v>0</v>
      </c>
      <c r="L36" s="862"/>
      <c r="M36" s="864">
        <f>SUM(M30:M34)</f>
        <v>0</v>
      </c>
    </row>
  </sheetData>
  <sheetProtection algorithmName="SHA-512" hashValue="Mz1V4BcwJWtTKOtpTBZ2cpXCuiuvsDI1yXg8CWY1K+xtungQQOgl8rb4boArA6h540y7CBugQl+VsfIzhUfqFw==" saltValue="mXcoKQrtRvLkOQzrErq1Pg==" spinCount="100000" sheet="1" objects="1" scenarios="1"/>
  <mergeCells count="10">
    <mergeCell ref="A11:B11"/>
    <mergeCell ref="A12:B12"/>
    <mergeCell ref="A6:B6"/>
    <mergeCell ref="C6:H6"/>
    <mergeCell ref="A5:M5"/>
    <mergeCell ref="A7:B7"/>
    <mergeCell ref="A8:B8"/>
    <mergeCell ref="A9:B9"/>
    <mergeCell ref="A10:B10"/>
    <mergeCell ref="I6:I7"/>
  </mergeCells>
  <pageMargins left="0.7" right="0.7" top="0.75" bottom="0.75" header="0.3" footer="0.3"/>
  <pageSetup orientation="landscape" r:id="rId1"/>
  <extLst>
    <ext xmlns:x14="http://schemas.microsoft.com/office/spreadsheetml/2009/9/main" uri="{78C0D931-6437-407d-A8EE-F0AAD7539E65}">
      <x14:conditionalFormattings>
        <x14:conditionalFormatting xmlns:xm="http://schemas.microsoft.com/office/excel/2006/main">
          <x14:cfRule type="expression" priority="53" stopIfTrue="1" id="{0DDEDB5F-21A7-442C-9E4A-403754552BD8}">
            <xm:f>'Fed Carryovers'!#REF!&lt;&gt;""</xm:f>
            <x14:dxf>
              <fill>
                <patternFill>
                  <bgColor indexed="34"/>
                </patternFill>
              </fill>
            </x14:dxf>
          </x14:cfRule>
          <xm:sqref>A5:I5</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dimension ref="A1:K68"/>
  <sheetViews>
    <sheetView showGridLines="0" workbookViewId="0">
      <selection activeCell="H8" sqref="H8"/>
    </sheetView>
  </sheetViews>
  <sheetFormatPr defaultRowHeight="12.75" x14ac:dyDescent="0.2"/>
  <cols>
    <col min="1" max="1" width="7.5703125" bestFit="1" customWidth="1"/>
    <col min="2" max="2" width="19" customWidth="1"/>
    <col min="3" max="8" width="8.7109375" customWidth="1"/>
    <col min="9" max="9" width="7.5703125" customWidth="1"/>
    <col min="10" max="10" width="3.7109375" customWidth="1"/>
    <col min="11" max="11" width="40.7109375" customWidth="1"/>
  </cols>
  <sheetData>
    <row r="1" spans="1:11" ht="18" x14ac:dyDescent="0.25">
      <c r="A1" s="36" t="s">
        <v>531</v>
      </c>
    </row>
    <row r="2" spans="1:11" ht="69.95" customHeight="1" x14ac:dyDescent="0.2">
      <c r="A2" s="1445" t="s">
        <v>510</v>
      </c>
      <c r="B2" s="1446"/>
      <c r="C2" s="1446"/>
      <c r="D2" s="1446"/>
      <c r="E2" s="1446"/>
      <c r="F2" s="1446"/>
      <c r="G2" s="1446"/>
      <c r="H2" s="1446"/>
      <c r="I2" s="1446"/>
      <c r="K2" s="170"/>
    </row>
    <row r="3" spans="1:11" ht="36" customHeight="1" x14ac:dyDescent="0.2">
      <c r="A3" s="1445" t="s">
        <v>459</v>
      </c>
      <c r="B3" s="1446"/>
      <c r="C3" s="1446"/>
      <c r="D3" s="1446"/>
      <c r="E3" s="1446"/>
      <c r="F3" s="1446"/>
      <c r="G3" s="1446"/>
      <c r="H3" s="1446"/>
      <c r="I3" s="1446"/>
      <c r="K3" s="170"/>
    </row>
    <row r="4" spans="1:11" x14ac:dyDescent="0.2">
      <c r="A4" s="15"/>
    </row>
    <row r="5" spans="1:11" ht="14.1" customHeight="1" x14ac:dyDescent="0.2">
      <c r="A5" s="1447" t="s">
        <v>356</v>
      </c>
      <c r="B5" s="1448"/>
      <c r="C5" s="1097" t="s">
        <v>4</v>
      </c>
      <c r="D5" s="1097"/>
      <c r="E5" s="1097"/>
      <c r="F5" s="1097"/>
      <c r="G5" s="1097"/>
      <c r="H5" s="1097"/>
      <c r="I5" s="1353" t="s">
        <v>1</v>
      </c>
      <c r="J5" s="1449"/>
      <c r="K5" s="1444" t="s">
        <v>354</v>
      </c>
    </row>
    <row r="6" spans="1:11" x14ac:dyDescent="0.2">
      <c r="A6" s="1085"/>
      <c r="B6" s="1086"/>
      <c r="C6" s="35">
        <f>'Complete This Page'!D118</f>
        <v>2013</v>
      </c>
      <c r="D6" s="35">
        <f>'Complete This Page'!E118</f>
        <v>2014</v>
      </c>
      <c r="E6" s="35">
        <f>'Complete This Page'!F118</f>
        <v>2015</v>
      </c>
      <c r="F6" s="35">
        <f>'Complete This Page'!G118</f>
        <v>2016</v>
      </c>
      <c r="G6" s="35">
        <f>'Complete This Page'!H118</f>
        <v>2017</v>
      </c>
      <c r="H6" s="35" t="s">
        <v>330</v>
      </c>
      <c r="I6" s="1037"/>
      <c r="J6" s="1449"/>
      <c r="K6" s="1444"/>
    </row>
    <row r="7" spans="1:11" x14ac:dyDescent="0.2">
      <c r="A7" s="1021" t="s">
        <v>118</v>
      </c>
      <c r="B7" s="1021"/>
      <c r="C7" s="82">
        <f>+'Complete This Page'!D119</f>
        <v>0</v>
      </c>
      <c r="D7" s="82">
        <f>+'Complete This Page'!E119</f>
        <v>0</v>
      </c>
      <c r="E7" s="82">
        <f>+'Complete This Page'!F119</f>
        <v>0</v>
      </c>
      <c r="F7" s="82">
        <f>+'Complete This Page'!G119</f>
        <v>0</v>
      </c>
      <c r="G7" s="82">
        <f>+'Complete This Page'!H119</f>
        <v>0</v>
      </c>
      <c r="H7" s="82">
        <f>+'Complete This Page'!I55</f>
        <v>0</v>
      </c>
      <c r="I7" s="37">
        <f>SUM(C7:H7)</f>
        <v>0</v>
      </c>
      <c r="K7" s="1444" t="s">
        <v>355</v>
      </c>
    </row>
    <row r="8" spans="1:11" x14ac:dyDescent="0.2">
      <c r="A8" s="1021" t="s">
        <v>6</v>
      </c>
      <c r="B8" s="1021"/>
      <c r="C8" s="82">
        <f>+'Complete This Page'!D120</f>
        <v>0</v>
      </c>
      <c r="D8" s="82">
        <f>+'Complete This Page'!E120</f>
        <v>0</v>
      </c>
      <c r="E8" s="82">
        <f>+'Complete This Page'!F120</f>
        <v>0</v>
      </c>
      <c r="F8" s="82">
        <f>+'Complete This Page'!G120</f>
        <v>0</v>
      </c>
      <c r="G8" s="82">
        <f>+'Complete This Page'!H120</f>
        <v>0</v>
      </c>
      <c r="H8" s="162"/>
      <c r="I8" s="37">
        <f>SUM(C8:H8)</f>
        <v>0</v>
      </c>
      <c r="K8" s="1444"/>
    </row>
    <row r="9" spans="1:11" x14ac:dyDescent="0.2">
      <c r="A9" s="1441" t="s">
        <v>524</v>
      </c>
      <c r="B9" s="1440"/>
      <c r="C9" s="82">
        <f>+'Complete This Page'!D121</f>
        <v>0</v>
      </c>
      <c r="D9" s="82">
        <f>+'Complete This Page'!E121</f>
        <v>0</v>
      </c>
      <c r="E9" s="82">
        <f>+'Complete This Page'!F121</f>
        <v>0</v>
      </c>
      <c r="F9" s="82">
        <f>+'Complete This Page'!G121</f>
        <v>0</v>
      </c>
      <c r="G9" s="82">
        <f>+'Complete This Page'!H121</f>
        <v>0</v>
      </c>
      <c r="H9" s="162"/>
      <c r="I9" s="37">
        <f>SUM(C9:H9)</f>
        <v>0</v>
      </c>
      <c r="K9" s="1444" t="s">
        <v>353</v>
      </c>
    </row>
    <row r="10" spans="1:11" x14ac:dyDescent="0.2">
      <c r="A10" s="1439" t="s">
        <v>479</v>
      </c>
      <c r="B10" s="1440"/>
      <c r="C10" s="82">
        <f>+'Complete This Page'!D122</f>
        <v>0</v>
      </c>
      <c r="D10" s="82">
        <f>+'Complete This Page'!E122</f>
        <v>0</v>
      </c>
      <c r="E10" s="82">
        <f>+'Complete This Page'!F122</f>
        <v>0</v>
      </c>
      <c r="F10" s="82">
        <f>+'Complete This Page'!G122</f>
        <v>0</v>
      </c>
      <c r="G10" s="82">
        <f>+'Complete This Page'!H122</f>
        <v>0</v>
      </c>
      <c r="H10" s="162"/>
      <c r="I10" s="37">
        <f>SUM(C10:H10)</f>
        <v>0</v>
      </c>
      <c r="K10" s="1444"/>
    </row>
    <row r="11" spans="1:11" x14ac:dyDescent="0.2">
      <c r="A11" s="1442" t="s">
        <v>660</v>
      </c>
      <c r="B11" s="1443"/>
      <c r="C11" s="82">
        <f>+'Complete This Page'!D123</f>
        <v>0</v>
      </c>
      <c r="D11" s="82">
        <f>+'Complete This Page'!E123</f>
        <v>0</v>
      </c>
      <c r="E11" s="82">
        <f>+'Complete This Page'!F123</f>
        <v>0</v>
      </c>
      <c r="F11" s="82">
        <f>+'Complete This Page'!G123</f>
        <v>0</v>
      </c>
      <c r="G11" s="82">
        <f>+'Complete This Page'!H123</f>
        <v>0</v>
      </c>
      <c r="H11" s="82">
        <f>+'Complete This Page'!I53</f>
        <v>0</v>
      </c>
      <c r="I11" s="37">
        <f>SUM(C11:H11)</f>
        <v>0</v>
      </c>
      <c r="K11" s="169" t="s">
        <v>381</v>
      </c>
    </row>
    <row r="12" spans="1:11" x14ac:dyDescent="0.2">
      <c r="A12" s="1122" t="s">
        <v>1637</v>
      </c>
      <c r="B12" s="1125"/>
      <c r="C12" s="1125"/>
      <c r="D12" s="1125"/>
      <c r="E12" s="1125"/>
      <c r="F12" s="1125"/>
      <c r="G12" s="1125"/>
      <c r="H12" s="1125"/>
      <c r="I12" s="1125"/>
      <c r="K12" s="191"/>
    </row>
    <row r="17" spans="1:11" x14ac:dyDescent="0.2">
      <c r="A17" s="1303" t="s">
        <v>523</v>
      </c>
      <c r="B17" s="1303"/>
      <c r="C17" s="1303"/>
      <c r="D17" s="1303"/>
      <c r="E17" s="1303"/>
      <c r="F17" s="1303"/>
      <c r="G17" s="1303"/>
      <c r="H17" s="1303"/>
      <c r="I17" s="1303"/>
      <c r="J17" s="9"/>
      <c r="K17" s="9"/>
    </row>
    <row r="18" spans="1:11" x14ac:dyDescent="0.2">
      <c r="A18" s="1306" t="s">
        <v>1199</v>
      </c>
      <c r="B18" s="1306"/>
      <c r="C18" s="1306"/>
      <c r="D18" s="1306"/>
      <c r="E18" s="1306"/>
      <c r="F18" s="1306"/>
      <c r="G18" s="1306"/>
      <c r="H18" s="1306"/>
      <c r="I18" s="1306"/>
      <c r="J18" s="27"/>
      <c r="K18" s="27"/>
    </row>
    <row r="20" spans="1:11" x14ac:dyDescent="0.2">
      <c r="B20" s="176" t="s">
        <v>538</v>
      </c>
      <c r="C20" s="176"/>
      <c r="D20" s="176"/>
      <c r="E20" s="176"/>
      <c r="F20" s="176"/>
      <c r="G20" s="176"/>
      <c r="H20" s="176"/>
      <c r="I20" s="176"/>
    </row>
    <row r="21" spans="1:11" x14ac:dyDescent="0.2">
      <c r="A21" s="49">
        <v>1</v>
      </c>
      <c r="B21" s="172" t="s">
        <v>1431</v>
      </c>
      <c r="C21" s="173"/>
      <c r="D21" s="173"/>
      <c r="E21" s="173"/>
      <c r="F21" s="174"/>
      <c r="G21" s="175"/>
      <c r="H21" s="1407">
        <f>+'Complete This Page'!I42</f>
        <v>0</v>
      </c>
      <c r="I21" s="1407"/>
      <c r="J21" s="49">
        <f>+A21</f>
        <v>1</v>
      </c>
    </row>
    <row r="22" spans="1:11" x14ac:dyDescent="0.2">
      <c r="A22" s="49">
        <f>+A21+1</f>
        <v>2</v>
      </c>
      <c r="B22" s="172" t="s">
        <v>1290</v>
      </c>
      <c r="C22" s="173"/>
      <c r="D22" s="173"/>
      <c r="E22" s="173"/>
      <c r="F22" s="1407">
        <f>+'Complete This Page'!I56</f>
        <v>0</v>
      </c>
      <c r="G22" s="1425"/>
      <c r="H22" s="179"/>
      <c r="I22" s="180"/>
      <c r="J22" s="49"/>
    </row>
    <row r="23" spans="1:11" x14ac:dyDescent="0.2">
      <c r="A23" s="49">
        <f t="shared" ref="A23:A45" si="0">+A22+1</f>
        <v>3</v>
      </c>
      <c r="B23" s="172" t="s">
        <v>1288</v>
      </c>
      <c r="C23" s="173"/>
      <c r="D23" s="173"/>
      <c r="E23" s="173"/>
      <c r="F23" s="1407">
        <f>+'Complete This Page'!I57</f>
        <v>0</v>
      </c>
      <c r="G23" s="1425"/>
      <c r="H23" s="181"/>
      <c r="I23" s="182"/>
      <c r="J23" s="49"/>
    </row>
    <row r="24" spans="1:11" x14ac:dyDescent="0.2">
      <c r="A24" s="49">
        <f t="shared" si="0"/>
        <v>4</v>
      </c>
      <c r="B24" s="172" t="s">
        <v>1289</v>
      </c>
      <c r="C24" s="173"/>
      <c r="D24" s="173"/>
      <c r="E24" s="173"/>
      <c r="F24" s="1407">
        <f>+'Complete This Page'!I58</f>
        <v>0</v>
      </c>
      <c r="G24" s="1425"/>
      <c r="H24" s="181"/>
      <c r="I24" s="182"/>
      <c r="J24" s="49"/>
    </row>
    <row r="25" spans="1:11" ht="13.5" thickBot="1" x14ac:dyDescent="0.25">
      <c r="A25" s="49">
        <f t="shared" si="0"/>
        <v>5</v>
      </c>
      <c r="B25" s="172" t="str">
        <f>CONCATENATE("Deductions not permitted by §718.01(A)(1)(g). Combine lines ",A22," - ",A24)</f>
        <v>Deductions not permitted by §718.01(A)(1)(g). Combine lines 2 - 4</v>
      </c>
      <c r="C25" s="173"/>
      <c r="D25" s="173"/>
      <c r="E25" s="173"/>
      <c r="F25" s="174"/>
      <c r="G25" s="175"/>
      <c r="H25" s="1390">
        <f>SUM(F22:G24)</f>
        <v>0</v>
      </c>
      <c r="I25" s="1391"/>
      <c r="J25" s="49">
        <f t="shared" ref="J25:J45" si="1">+A25</f>
        <v>5</v>
      </c>
    </row>
    <row r="26" spans="1:11" x14ac:dyDescent="0.2">
      <c r="A26" s="49">
        <f t="shared" si="0"/>
        <v>6</v>
      </c>
      <c r="B26" s="172" t="str">
        <f>CONCATENATE("Combine lines ",A21," and ",A25)</f>
        <v>Combine lines 1 and 5</v>
      </c>
      <c r="C26" s="173"/>
      <c r="D26" s="173"/>
      <c r="E26" s="173"/>
      <c r="F26" s="174"/>
      <c r="G26" s="175"/>
      <c r="H26" s="1392">
        <f>+H21+H25</f>
        <v>0</v>
      </c>
      <c r="I26" s="1393"/>
      <c r="J26" s="49">
        <f t="shared" si="1"/>
        <v>6</v>
      </c>
    </row>
    <row r="27" spans="1:11" ht="13.5" thickBot="1" x14ac:dyDescent="0.25">
      <c r="A27" s="49">
        <f t="shared" si="0"/>
        <v>7</v>
      </c>
      <c r="B27" s="186" t="str">
        <f>CONCATENATE("Allowable prior year capital losses.  Enter the amount from line ",A62)</f>
        <v>Allowable prior year capital losses.  Enter the amount from line 36</v>
      </c>
      <c r="C27" s="187"/>
      <c r="D27" s="187"/>
      <c r="E27" s="187"/>
      <c r="F27" s="177"/>
      <c r="G27" s="188"/>
      <c r="H27" s="1402">
        <f>+H62</f>
        <v>0</v>
      </c>
      <c r="I27" s="1403"/>
      <c r="J27" s="49">
        <f t="shared" si="1"/>
        <v>7</v>
      </c>
    </row>
    <row r="28" spans="1:11" x14ac:dyDescent="0.2">
      <c r="A28" s="49">
        <f t="shared" si="0"/>
        <v>8</v>
      </c>
      <c r="B28" s="172" t="str">
        <f>CONCATENATE("Subtract line ",A27," from ",A26)</f>
        <v>Subtract line 7 from 6</v>
      </c>
      <c r="C28" s="187"/>
      <c r="D28" s="187"/>
      <c r="E28" s="187"/>
      <c r="F28" s="177"/>
      <c r="G28" s="188"/>
      <c r="H28" s="1400">
        <f>+H26-H27</f>
        <v>0</v>
      </c>
      <c r="I28" s="1401"/>
      <c r="J28" s="49">
        <f t="shared" si="1"/>
        <v>8</v>
      </c>
    </row>
    <row r="29" spans="1:11" ht="13.5" thickBot="1" x14ac:dyDescent="0.25">
      <c r="A29" s="49">
        <f t="shared" si="0"/>
        <v>9</v>
      </c>
      <c r="B29" s="186" t="str">
        <f>CONCATENATE("Capital losses in excess of capital gains.  Enter the amount from line ",A65)</f>
        <v>Capital losses in excess of capital gains.  Enter the amount from line 38</v>
      </c>
      <c r="C29" s="187"/>
      <c r="D29" s="187"/>
      <c r="E29" s="187"/>
      <c r="F29" s="177"/>
      <c r="G29" s="178"/>
      <c r="H29" s="1402">
        <f>+H65</f>
        <v>0</v>
      </c>
      <c r="I29" s="1403"/>
      <c r="J29" s="49">
        <f t="shared" si="1"/>
        <v>9</v>
      </c>
    </row>
    <row r="30" spans="1:11" x14ac:dyDescent="0.2">
      <c r="A30" s="49">
        <f t="shared" si="0"/>
        <v>10</v>
      </c>
      <c r="B30" s="172" t="str">
        <f>CONCATENATE("Add line ",A29," from ",A28)</f>
        <v>Add line 9 from 8</v>
      </c>
      <c r="C30" s="173"/>
      <c r="D30" s="173"/>
      <c r="E30" s="173"/>
      <c r="F30" s="174"/>
      <c r="G30" s="175"/>
      <c r="H30" s="1404">
        <f>+H28+H29</f>
        <v>0</v>
      </c>
      <c r="I30" s="1404"/>
      <c r="J30" s="49">
        <f t="shared" si="1"/>
        <v>10</v>
      </c>
    </row>
    <row r="31" spans="1:11" x14ac:dyDescent="0.2">
      <c r="A31" s="49">
        <f>+A30+1</f>
        <v>11</v>
      </c>
      <c r="B31" s="172" t="s">
        <v>522</v>
      </c>
      <c r="C31" s="173"/>
      <c r="D31" s="173"/>
      <c r="E31" s="173"/>
      <c r="F31" s="1407">
        <f>+H11</f>
        <v>0</v>
      </c>
      <c r="G31" s="1425"/>
      <c r="H31" s="179"/>
      <c r="I31" s="180"/>
      <c r="J31" s="49"/>
    </row>
    <row r="32" spans="1:11" x14ac:dyDescent="0.2">
      <c r="A32" s="49">
        <f t="shared" si="0"/>
        <v>12</v>
      </c>
      <c r="B32" s="172" t="s">
        <v>521</v>
      </c>
      <c r="C32" s="173"/>
      <c r="D32" s="173"/>
      <c r="E32" s="173"/>
      <c r="F32" s="1407">
        <f>+H7</f>
        <v>0</v>
      </c>
      <c r="G32" s="1425"/>
      <c r="H32" s="181"/>
      <c r="I32" s="182"/>
      <c r="J32" s="49"/>
    </row>
    <row r="33" spans="1:11" ht="13.5" thickBot="1" x14ac:dyDescent="0.25">
      <c r="A33" s="49">
        <f t="shared" si="0"/>
        <v>13</v>
      </c>
      <c r="B33" s="172" t="str">
        <f>CONCATENATE("Combine lines ",A31," and ",A32)</f>
        <v>Combine lines 11 and 12</v>
      </c>
      <c r="C33" s="187"/>
      <c r="D33" s="187"/>
      <c r="E33" s="187"/>
      <c r="F33" s="177"/>
      <c r="G33" s="178"/>
      <c r="H33" s="1390">
        <f>SUM(F31:G32)</f>
        <v>0</v>
      </c>
      <c r="I33" s="1391"/>
      <c r="J33" s="49">
        <f t="shared" si="1"/>
        <v>13</v>
      </c>
    </row>
    <row r="34" spans="1:11" x14ac:dyDescent="0.2">
      <c r="A34" s="49">
        <f t="shared" si="0"/>
        <v>14</v>
      </c>
      <c r="B34" s="172" t="str">
        <f>CONCATENATE("'C-Corp' Income before contributions, §179, and NOL. Add lines ",A30," and ",A33)</f>
        <v>'C-Corp' Income before contributions, §179, and NOL. Add lines 10 and 13</v>
      </c>
      <c r="C34" s="187"/>
      <c r="D34" s="187"/>
      <c r="E34" s="187"/>
      <c r="F34" s="177"/>
      <c r="G34" s="178"/>
      <c r="H34" s="1392">
        <f>+H30+H33</f>
        <v>0</v>
      </c>
      <c r="I34" s="1393"/>
      <c r="J34" s="49">
        <f t="shared" si="1"/>
        <v>14</v>
      </c>
    </row>
    <row r="35" spans="1:11" x14ac:dyDescent="0.2">
      <c r="A35" s="185"/>
      <c r="B35" s="172"/>
      <c r="C35" s="187"/>
      <c r="D35" s="187"/>
      <c r="E35" s="187"/>
      <c r="F35" s="177"/>
      <c r="G35" s="183"/>
      <c r="H35" s="189"/>
      <c r="I35" s="189"/>
      <c r="J35" s="185"/>
    </row>
    <row r="36" spans="1:11" x14ac:dyDescent="0.2">
      <c r="A36" s="49">
        <f>+A34+1</f>
        <v>15</v>
      </c>
      <c r="B36" s="186" t="str">
        <f>CONCATENATE("Enter the amount on line ",A34,".  If line ",A34," is less than zero, enter zero")</f>
        <v>Enter the amount on line 14.  If line 14 is less than zero, enter zero</v>
      </c>
      <c r="C36" s="187"/>
      <c r="D36" s="187"/>
      <c r="E36" s="187"/>
      <c r="F36" s="177"/>
      <c r="G36" s="188"/>
      <c r="H36" s="1388">
        <f>IF(H34&lt;0,0,H34)</f>
        <v>0</v>
      </c>
      <c r="I36" s="1389"/>
      <c r="J36" s="49">
        <f t="shared" si="1"/>
        <v>15</v>
      </c>
    </row>
    <row r="37" spans="1:11" x14ac:dyDescent="0.2">
      <c r="A37" s="49">
        <f t="shared" si="0"/>
        <v>16</v>
      </c>
      <c r="B37" s="186" t="str">
        <f>CONCATENATE("Allowable current year §179 deduction.  Enter the lesser of line ",A31," or line ",A36)</f>
        <v>Allowable current year §179 deduction.  Enter the lesser of line 11 or line 15</v>
      </c>
      <c r="C37" s="187"/>
      <c r="D37" s="187"/>
      <c r="E37" s="187"/>
      <c r="F37" s="177"/>
      <c r="G37" s="178"/>
      <c r="H37" s="1388">
        <f>IF(F31&lt;H36,F31,H36)</f>
        <v>0</v>
      </c>
      <c r="I37" s="1389"/>
      <c r="J37" s="49">
        <f t="shared" si="1"/>
        <v>16</v>
      </c>
    </row>
    <row r="38" spans="1:11" x14ac:dyDescent="0.2">
      <c r="A38" s="49">
        <f t="shared" si="0"/>
        <v>17</v>
      </c>
      <c r="B38" s="172" t="str">
        <f>CONCATENATE("Subtract line ",A37," from line ",A34)</f>
        <v>Subtract line 16 from line 14</v>
      </c>
      <c r="C38" s="187"/>
      <c r="D38" s="187"/>
      <c r="E38" s="187"/>
      <c r="F38" s="177"/>
      <c r="G38" s="178"/>
      <c r="H38" s="1388">
        <f>+H34-H37</f>
        <v>0</v>
      </c>
      <c r="I38" s="1389"/>
      <c r="J38" s="49">
        <f t="shared" si="1"/>
        <v>17</v>
      </c>
    </row>
    <row r="39" spans="1:11" x14ac:dyDescent="0.2">
      <c r="A39" s="49">
        <f>+A38+1</f>
        <v>18</v>
      </c>
      <c r="B39" s="186" t="str">
        <f>CONCATENATE("Enter the amount on line ",A38,".  If line ",A38," is less than zero, enter zero")</f>
        <v>Enter the amount on line 17.  If line 17 is less than zero, enter zero</v>
      </c>
      <c r="C39" s="187"/>
      <c r="D39" s="187"/>
      <c r="E39" s="187"/>
      <c r="F39" s="177"/>
      <c r="G39" s="178"/>
      <c r="H39" s="1388">
        <f>IF(H38&lt;0,0,H38)</f>
        <v>0</v>
      </c>
      <c r="I39" s="1389"/>
      <c r="J39" s="49">
        <f>+A39</f>
        <v>18</v>
      </c>
    </row>
    <row r="40" spans="1:11" x14ac:dyDescent="0.2">
      <c r="A40" s="49">
        <f>+A39+1</f>
        <v>19</v>
      </c>
      <c r="B40" s="172" t="str">
        <f>CONCATENATE("Enter the lesser of line ",A39," or the unused §179 carryover")</f>
        <v>Enter the lesser of line 18 or the unused §179 carryover</v>
      </c>
      <c r="C40" s="187"/>
      <c r="D40" s="187"/>
      <c r="E40" s="187"/>
      <c r="F40" s="177"/>
      <c r="G40" s="178"/>
      <c r="H40" s="1388">
        <f>IF(SUM(C11:G11)&lt;H39,SUM(C11:G11),H39)</f>
        <v>0</v>
      </c>
      <c r="I40" s="1389"/>
      <c r="J40" s="49">
        <f>+A40</f>
        <v>19</v>
      </c>
    </row>
    <row r="41" spans="1:11" x14ac:dyDescent="0.2">
      <c r="A41" s="49">
        <f>+A40+1</f>
        <v>20</v>
      </c>
      <c r="B41" s="172" t="str">
        <f>CONCATENATE("Federal 'C-Corp' income before contribution deduction and NOL. Subtract line ",A40," from ",A38)</f>
        <v>Federal 'C-Corp' income before contribution deduction and NOL. Subtract line 19 from 17</v>
      </c>
      <c r="C41" s="187"/>
      <c r="D41" s="187"/>
      <c r="E41" s="187"/>
      <c r="F41" s="177"/>
      <c r="G41" s="178"/>
      <c r="H41" s="1388">
        <f>+H38-H40</f>
        <v>0</v>
      </c>
      <c r="I41" s="1389"/>
      <c r="J41" s="49">
        <f>+A41</f>
        <v>20</v>
      </c>
    </row>
    <row r="42" spans="1:11" x14ac:dyDescent="0.2">
      <c r="A42" s="49"/>
      <c r="J42" s="49"/>
    </row>
    <row r="43" spans="1:11" x14ac:dyDescent="0.2">
      <c r="A43" s="49">
        <f>+A41+1</f>
        <v>21</v>
      </c>
      <c r="B43" s="186" t="str">
        <f>CONCATENATE("Enter the amount on line ",A41,".  If line ",A41," is less than zero, enter zero")</f>
        <v>Enter the amount on line 20.  If line 20 is less than zero, enter zero</v>
      </c>
      <c r="C43" s="173"/>
      <c r="D43" s="173"/>
      <c r="E43" s="173"/>
      <c r="F43" s="174"/>
      <c r="G43" s="175"/>
      <c r="H43" s="1388">
        <f>IF(H41&lt;0,0,H41)</f>
        <v>0</v>
      </c>
      <c r="I43" s="1389"/>
      <c r="J43" s="49">
        <f t="shared" si="1"/>
        <v>21</v>
      </c>
      <c r="K43" s="3"/>
    </row>
    <row r="44" spans="1:11" x14ac:dyDescent="0.2">
      <c r="A44" s="49">
        <f t="shared" si="0"/>
        <v>22</v>
      </c>
      <c r="B44" s="172" t="str">
        <f>CONCATENATE("Enter the lesser of line ",A43," or the federal net operating loss carryover")</f>
        <v>Enter the lesser of line 21 or the federal net operating loss carryover</v>
      </c>
      <c r="C44" s="173"/>
      <c r="D44" s="173"/>
      <c r="E44" s="173"/>
      <c r="F44" s="174"/>
      <c r="G44" s="175"/>
      <c r="H44" s="1388">
        <f>IF(H43&lt;I10,H43,I10)</f>
        <v>0</v>
      </c>
      <c r="I44" s="1389"/>
      <c r="J44" s="49">
        <f t="shared" si="1"/>
        <v>22</v>
      </c>
    </row>
    <row r="45" spans="1:11" x14ac:dyDescent="0.2">
      <c r="A45" s="49">
        <f t="shared" si="0"/>
        <v>23</v>
      </c>
      <c r="B45" s="172" t="str">
        <f>CONCATENATE("Federal 'C-Corp' income before contribution deduction. Subtract line ",A44," from ",A41)</f>
        <v>Federal 'C-Corp' income before contribution deduction. Subtract line 22 from 20</v>
      </c>
      <c r="C45" s="187"/>
      <c r="D45" s="187"/>
      <c r="E45" s="187"/>
      <c r="F45" s="177"/>
      <c r="G45" s="178"/>
      <c r="H45" s="1388">
        <f>+H41-H44</f>
        <v>0</v>
      </c>
      <c r="I45" s="1389"/>
      <c r="J45" s="49">
        <f t="shared" si="1"/>
        <v>23</v>
      </c>
    </row>
    <row r="46" spans="1:11" x14ac:dyDescent="0.2">
      <c r="A46" s="49"/>
      <c r="B46" s="61"/>
      <c r="C46" s="16"/>
      <c r="D46" s="16"/>
      <c r="E46" s="16"/>
      <c r="F46" s="190"/>
      <c r="G46" s="190"/>
      <c r="H46" s="190"/>
      <c r="I46" s="190"/>
      <c r="J46" s="49"/>
    </row>
    <row r="47" spans="1:11" x14ac:dyDescent="0.2">
      <c r="A47" s="49">
        <f>+A45+1</f>
        <v>24</v>
      </c>
      <c r="B47" s="186" t="str">
        <f>CONCATENATE("Enter the amount on line ",A45,".  If line ",A45," is less than zero, enter zero")</f>
        <v>Enter the amount on line 23.  If line 23 is less than zero, enter zero</v>
      </c>
      <c r="C47" s="173"/>
      <c r="D47" s="173"/>
      <c r="E47" s="173"/>
      <c r="F47" s="174"/>
      <c r="G47" s="175"/>
      <c r="H47" s="1388">
        <f>IF(H45&lt;0,0,H45)</f>
        <v>0</v>
      </c>
      <c r="I47" s="1389"/>
      <c r="J47" s="49">
        <f>+A47</f>
        <v>24</v>
      </c>
    </row>
    <row r="48" spans="1:11" x14ac:dyDescent="0.2">
      <c r="A48" s="49">
        <f>+A47+1</f>
        <v>25</v>
      </c>
      <c r="B48" s="186" t="str">
        <f>CONCATENATE("Multiply line ",A47," by 0.10")</f>
        <v>Multiply line 24 by 0.10</v>
      </c>
      <c r="C48" s="173"/>
      <c r="D48" s="173"/>
      <c r="E48" s="173"/>
      <c r="F48" s="174"/>
      <c r="G48" s="175"/>
      <c r="H48" s="1388">
        <f>ROUND(H47*0.1,0)</f>
        <v>0</v>
      </c>
      <c r="I48" s="1389"/>
      <c r="J48" s="49">
        <f>+A48</f>
        <v>25</v>
      </c>
    </row>
    <row r="49" spans="1:10" x14ac:dyDescent="0.2">
      <c r="A49" s="49">
        <f>+A48+1</f>
        <v>26</v>
      </c>
      <c r="B49" s="172" t="str">
        <f>CONCATENATE("Enter the lesser of line ",A48," or the available contribution deduction and carryovers")</f>
        <v>Enter the lesser of line 25 or the available contribution deduction and carryovers</v>
      </c>
      <c r="C49" s="173"/>
      <c r="D49" s="173"/>
      <c r="E49" s="173"/>
      <c r="F49" s="174"/>
      <c r="G49" s="175"/>
      <c r="H49" s="1388">
        <f>IF(H48&lt;I7,H48,I7)</f>
        <v>0</v>
      </c>
      <c r="I49" s="1389"/>
      <c r="J49" s="49">
        <f>+A49</f>
        <v>26</v>
      </c>
    </row>
    <row r="50" spans="1:10" x14ac:dyDescent="0.2">
      <c r="A50" s="49">
        <f>+A49+1</f>
        <v>27</v>
      </c>
      <c r="B50" s="172" t="str">
        <f>CONCATENATE("Federal income as if taxpayer was an 'C-Corp'. Subtract line ",A49," from ",A45)</f>
        <v>Federal income as if taxpayer was an 'C-Corp'. Subtract line 26 from 23</v>
      </c>
      <c r="C50" s="187"/>
      <c r="D50" s="187"/>
      <c r="E50" s="187"/>
      <c r="F50" s="177"/>
      <c r="G50" s="178"/>
      <c r="H50" s="1388">
        <f>+H45-H49</f>
        <v>0</v>
      </c>
      <c r="I50" s="1389"/>
      <c r="J50" s="49">
        <f>+A50</f>
        <v>27</v>
      </c>
    </row>
    <row r="51" spans="1:10" x14ac:dyDescent="0.2">
      <c r="A51" s="49"/>
      <c r="B51" s="1"/>
    </row>
    <row r="52" spans="1:10" x14ac:dyDescent="0.2">
      <c r="A52" s="49"/>
      <c r="B52" s="176" t="s">
        <v>525</v>
      </c>
      <c r="C52" s="176"/>
      <c r="D52" s="176"/>
      <c r="E52" s="176"/>
      <c r="F52" s="176"/>
      <c r="G52" s="176"/>
      <c r="H52" s="176"/>
      <c r="I52" s="176"/>
    </row>
    <row r="53" spans="1:10" x14ac:dyDescent="0.2">
      <c r="A53" s="49">
        <f>+A50+1</f>
        <v>28</v>
      </c>
      <c r="B53" s="172" t="s">
        <v>529</v>
      </c>
      <c r="C53" s="173"/>
      <c r="D53" s="173"/>
      <c r="E53" s="173"/>
      <c r="F53" s="1426">
        <f>IF('Complete This Page'!I50&gt;0,'Complete This Page'!I50,0)</f>
        <v>0</v>
      </c>
      <c r="G53" s="1426"/>
      <c r="H53" s="179"/>
      <c r="I53" s="180"/>
      <c r="J53" s="49"/>
    </row>
    <row r="54" spans="1:10" x14ac:dyDescent="0.2">
      <c r="A54" s="49">
        <f t="shared" ref="A54:A59" si="2">+A53+1</f>
        <v>29</v>
      </c>
      <c r="B54" s="172" t="str">
        <f>CONCATENATE("Enter the lesser of line ",A53," or the nonrecaptured 1231 losses")</f>
        <v>Enter the lesser of line 28 or the nonrecaptured 1231 losses</v>
      </c>
      <c r="C54" s="173"/>
      <c r="D54" s="173"/>
      <c r="E54" s="173"/>
      <c r="F54" s="1426">
        <f>IF(I9&lt;F53,I9,F53)</f>
        <v>0</v>
      </c>
      <c r="G54" s="1426"/>
      <c r="H54" s="181"/>
      <c r="I54" s="182"/>
      <c r="J54" s="49"/>
    </row>
    <row r="55" spans="1:10" x14ac:dyDescent="0.2">
      <c r="A55" s="49">
        <f t="shared" si="2"/>
        <v>30</v>
      </c>
      <c r="B55" s="172" t="str">
        <f>CONCATENATE("'C Corp' 1231 capital gain.  Subtract line ",A54," from line ",A58)</f>
        <v>'C Corp' 1231 capital gain.  Subtract line 29 from line 33</v>
      </c>
      <c r="C55" s="173"/>
      <c r="D55" s="173"/>
      <c r="E55" s="173"/>
      <c r="F55" s="177"/>
      <c r="G55" s="178"/>
      <c r="H55" s="1404">
        <f>+F53-F54</f>
        <v>0</v>
      </c>
      <c r="I55" s="1404"/>
      <c r="J55" s="49">
        <f>+A55</f>
        <v>30</v>
      </c>
    </row>
    <row r="56" spans="1:10" x14ac:dyDescent="0.2">
      <c r="A56" s="49">
        <f t="shared" si="2"/>
        <v>31</v>
      </c>
      <c r="B56" s="172" t="s">
        <v>526</v>
      </c>
      <c r="C56" s="173"/>
      <c r="D56" s="173"/>
      <c r="E56" s="173"/>
      <c r="F56" s="1426">
        <f>+'Complete This Page'!I48</f>
        <v>0</v>
      </c>
      <c r="G56" s="1427"/>
      <c r="H56" s="179"/>
      <c r="I56" s="180"/>
      <c r="J56" s="49"/>
    </row>
    <row r="57" spans="1:10" x14ac:dyDescent="0.2">
      <c r="A57" s="49">
        <f t="shared" si="2"/>
        <v>32</v>
      </c>
      <c r="B57" s="172" t="s">
        <v>528</v>
      </c>
      <c r="C57" s="173"/>
      <c r="D57" s="173"/>
      <c r="E57" s="173"/>
      <c r="F57" s="1426">
        <f>+'Complete This Page'!I49</f>
        <v>0</v>
      </c>
      <c r="G57" s="1427"/>
      <c r="H57" s="181"/>
      <c r="I57" s="182"/>
      <c r="J57" s="49"/>
    </row>
    <row r="58" spans="1:10" x14ac:dyDescent="0.2">
      <c r="A58" s="49">
        <f t="shared" si="2"/>
        <v>33</v>
      </c>
      <c r="B58" s="172" t="str">
        <f>CONCATENATE("Schedule D capital gain (loss). Combine lines ",A56," and ",A57)</f>
        <v>Schedule D capital gain (loss). Combine lines 31 and 32</v>
      </c>
      <c r="C58" s="173"/>
      <c r="D58" s="173"/>
      <c r="E58" s="173"/>
      <c r="F58" s="1410"/>
      <c r="G58" s="1411"/>
      <c r="H58" s="1392">
        <f>SUM(F56:G57)</f>
        <v>0</v>
      </c>
      <c r="I58" s="1393"/>
      <c r="J58" s="49">
        <f>+A58</f>
        <v>33</v>
      </c>
    </row>
    <row r="59" spans="1:10" x14ac:dyDescent="0.2">
      <c r="A59" s="49">
        <f t="shared" si="2"/>
        <v>34</v>
      </c>
      <c r="B59" s="172" t="str">
        <f>CONCATENATE("Current year capital gain (loss). Combine lines ",A55," and ",A58)</f>
        <v>Current year capital gain (loss). Combine lines 30 and 33</v>
      </c>
      <c r="C59" s="173"/>
      <c r="D59" s="173"/>
      <c r="E59" s="173"/>
      <c r="F59" s="177"/>
      <c r="G59" s="178"/>
      <c r="H59" s="1388">
        <f>+H55+H58</f>
        <v>0</v>
      </c>
      <c r="I59" s="1389"/>
      <c r="J59" s="49">
        <f>+A59</f>
        <v>34</v>
      </c>
    </row>
    <row r="60" spans="1:10" x14ac:dyDescent="0.2">
      <c r="A60" s="49"/>
      <c r="B60" s="172"/>
      <c r="C60" s="173"/>
      <c r="D60" s="173"/>
      <c r="E60" s="173"/>
      <c r="F60" s="177"/>
      <c r="G60" s="183"/>
      <c r="H60" s="184"/>
      <c r="I60" s="184"/>
      <c r="J60" s="185"/>
    </row>
    <row r="61" spans="1:10" x14ac:dyDescent="0.2">
      <c r="A61" s="49">
        <f>+A59+1</f>
        <v>35</v>
      </c>
      <c r="B61" s="172" t="str">
        <f>CONCATENATE("If the amount on line ",A59," is a gain, enter the gain here")</f>
        <v>If the amount on line 34 is a gain, enter the gain here</v>
      </c>
      <c r="C61" s="173"/>
      <c r="D61" s="173"/>
      <c r="E61" s="173"/>
      <c r="F61" s="177"/>
      <c r="G61" s="178"/>
      <c r="H61" s="1388">
        <f>IF(H59&gt;0,H59,0)</f>
        <v>0</v>
      </c>
      <c r="I61" s="1389"/>
      <c r="J61" s="49">
        <f>+A61</f>
        <v>35</v>
      </c>
    </row>
    <row r="62" spans="1:10" x14ac:dyDescent="0.2">
      <c r="A62" s="49">
        <f>+A61+1</f>
        <v>36</v>
      </c>
      <c r="B62" s="172" t="str">
        <f>CONCATENATE("Enter the lesser of line ",A61," or the capital loss carryover")</f>
        <v>Enter the lesser of line 35 or the capital loss carryover</v>
      </c>
      <c r="C62" s="173"/>
      <c r="D62" s="173"/>
      <c r="E62" s="173"/>
      <c r="F62" s="177"/>
      <c r="G62" s="178"/>
      <c r="H62" s="1388">
        <f>IF(H61&lt;I8,H61,I8)</f>
        <v>0</v>
      </c>
      <c r="I62" s="1389"/>
      <c r="J62" s="49">
        <f>+A62</f>
        <v>36</v>
      </c>
    </row>
    <row r="63" spans="1:10" x14ac:dyDescent="0.2">
      <c r="A63" s="49">
        <f>+A62+1</f>
        <v>37</v>
      </c>
      <c r="B63" s="172" t="str">
        <f>CONCATENATE("'C Corp' net capital gains &amp; losses. Subtract line ",A62," from ",A61)</f>
        <v>'C Corp' net capital gains &amp; losses. Subtract line 36 from 35</v>
      </c>
      <c r="C63" s="173"/>
      <c r="D63" s="173"/>
      <c r="E63" s="173"/>
      <c r="F63" s="177"/>
      <c r="G63" s="178"/>
      <c r="H63" s="1388">
        <f>+H61-H62</f>
        <v>0</v>
      </c>
      <c r="I63" s="1389"/>
      <c r="J63" s="49">
        <f>+A63</f>
        <v>37</v>
      </c>
    </row>
    <row r="65" spans="1:10" x14ac:dyDescent="0.2">
      <c r="A65" s="49">
        <f>+A63+1</f>
        <v>38</v>
      </c>
      <c r="B65" s="172" t="str">
        <f>CONCATENATE("Capital losses in excess of capital gains.  If line ",A59," is a loss, enter the loss here")</f>
        <v>Capital losses in excess of capital gains.  If line 34 is a loss, enter the loss here</v>
      </c>
      <c r="C65" s="173"/>
      <c r="D65" s="173"/>
      <c r="E65" s="173"/>
      <c r="F65" s="177"/>
      <c r="G65" s="178"/>
      <c r="H65" s="1407">
        <f>IF(H59&lt;0,-H59,0)</f>
        <v>0</v>
      </c>
      <c r="I65" s="1407"/>
      <c r="J65" s="49">
        <f>+A65</f>
        <v>38</v>
      </c>
    </row>
    <row r="66" spans="1:10" x14ac:dyDescent="0.2">
      <c r="J66" s="49"/>
    </row>
    <row r="67" spans="1:10" x14ac:dyDescent="0.2">
      <c r="J67" s="49"/>
    </row>
    <row r="68" spans="1:10" x14ac:dyDescent="0.2">
      <c r="J68" s="49"/>
    </row>
  </sheetData>
  <sheetProtection algorithmName="SHA-512" hashValue="AbDLVeJ7p5+rxVKpouC+1Wb7NqdWWZHXHydCF0G8JN60RmSofGB77zudJxcqLR2YIg6PopAfE/2/e2HNm73kOw==" saltValue="IS3VN/8uFeok6QRSkFFcAA==" spinCount="100000" sheet="1" objects="1" scenarios="1"/>
  <mergeCells count="56">
    <mergeCell ref="H65:I65"/>
    <mergeCell ref="H25:I25"/>
    <mergeCell ref="A18:I18"/>
    <mergeCell ref="H21:I21"/>
    <mergeCell ref="H43:I43"/>
    <mergeCell ref="F22:G22"/>
    <mergeCell ref="F53:G53"/>
    <mergeCell ref="F54:G54"/>
    <mergeCell ref="H61:I61"/>
    <mergeCell ref="H62:I62"/>
    <mergeCell ref="H63:I63"/>
    <mergeCell ref="H27:I27"/>
    <mergeCell ref="H33:I33"/>
    <mergeCell ref="F32:G32"/>
    <mergeCell ref="H34:I34"/>
    <mergeCell ref="F23:G23"/>
    <mergeCell ref="K5:K6"/>
    <mergeCell ref="K7:K8"/>
    <mergeCell ref="K9:K10"/>
    <mergeCell ref="A2:I2"/>
    <mergeCell ref="A3:I3"/>
    <mergeCell ref="A5:B6"/>
    <mergeCell ref="C5:H5"/>
    <mergeCell ref="I5:I6"/>
    <mergeCell ref="J5:J6"/>
    <mergeCell ref="H29:I29"/>
    <mergeCell ref="H30:I30"/>
    <mergeCell ref="A10:B10"/>
    <mergeCell ref="A7:B7"/>
    <mergeCell ref="A17:I17"/>
    <mergeCell ref="A9:B9"/>
    <mergeCell ref="A12:I12"/>
    <mergeCell ref="A8:B8"/>
    <mergeCell ref="A11:B11"/>
    <mergeCell ref="F57:G57"/>
    <mergeCell ref="F58:G58"/>
    <mergeCell ref="H58:I58"/>
    <mergeCell ref="F24:G24"/>
    <mergeCell ref="H26:I26"/>
    <mergeCell ref="F31:G31"/>
    <mergeCell ref="H40:I40"/>
    <mergeCell ref="H41:I41"/>
    <mergeCell ref="H44:I44"/>
    <mergeCell ref="H28:I28"/>
    <mergeCell ref="F56:G56"/>
    <mergeCell ref="H45:I45"/>
    <mergeCell ref="H36:I36"/>
    <mergeCell ref="H38:I38"/>
    <mergeCell ref="H39:I39"/>
    <mergeCell ref="H37:I37"/>
    <mergeCell ref="H59:I59"/>
    <mergeCell ref="H55:I55"/>
    <mergeCell ref="H47:I47"/>
    <mergeCell ref="H49:I49"/>
    <mergeCell ref="H50:I50"/>
    <mergeCell ref="H48:I48"/>
  </mergeCells>
  <phoneticPr fontId="2" type="noConversion"/>
  <pageMargins left="0.75" right="0.75" top="1" bottom="1" header="0.5" footer="0.5"/>
  <pageSetup orientation="portrait" r:id="rId1"/>
  <headerFooter alignWithMargins="0"/>
  <ignoredErrors>
    <ignoredError sqref="B29" 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4"/>
  <dimension ref="A1:I47"/>
  <sheetViews>
    <sheetView showGridLines="0" workbookViewId="0">
      <selection activeCell="B4" sqref="B4:E4"/>
    </sheetView>
  </sheetViews>
  <sheetFormatPr defaultRowHeight="12.75" x14ac:dyDescent="0.2"/>
  <cols>
    <col min="1" max="1" width="3.7109375" customWidth="1"/>
    <col min="3" max="3" width="48.5703125" customWidth="1"/>
    <col min="4" max="4" width="3.7109375" customWidth="1"/>
    <col min="5" max="5" width="12.7109375" customWidth="1"/>
    <col min="6" max="6" width="3.7109375" customWidth="1"/>
    <col min="7" max="7" width="12.7109375" customWidth="1"/>
    <col min="8" max="8" width="3.7109375" customWidth="1"/>
  </cols>
  <sheetData>
    <row r="1" spans="1:9" ht="23.25" x14ac:dyDescent="0.35">
      <c r="A1" s="61" t="s">
        <v>80</v>
      </c>
      <c r="B1" s="409">
        <v>8903</v>
      </c>
      <c r="C1" s="1483" t="s">
        <v>81</v>
      </c>
      <c r="D1" s="1484"/>
      <c r="E1" s="1484"/>
      <c r="F1" s="1485"/>
      <c r="G1" s="1481">
        <f>+'Print Schedules'!K1</f>
        <v>2018</v>
      </c>
      <c r="H1" s="1482"/>
    </row>
    <row r="2" spans="1:9" ht="13.5" thickBot="1" x14ac:dyDescent="0.25">
      <c r="A2" s="1492" t="s">
        <v>749</v>
      </c>
      <c r="B2" s="1493"/>
      <c r="C2" s="1486" t="s">
        <v>748</v>
      </c>
      <c r="D2" s="1487"/>
      <c r="E2" s="1487"/>
      <c r="F2" s="1488"/>
      <c r="G2" s="1494" t="str">
        <f>+'Complete This Page'!J1</f>
        <v>NPAC v2018.0</v>
      </c>
      <c r="H2" s="1495"/>
    </row>
    <row r="3" spans="1:9" s="1" customFormat="1" ht="11.25" x14ac:dyDescent="0.2">
      <c r="A3" s="61" t="s">
        <v>82</v>
      </c>
      <c r="B3" s="530"/>
      <c r="C3" s="530"/>
      <c r="D3" s="530"/>
      <c r="E3" s="530"/>
      <c r="F3" s="543"/>
      <c r="G3" s="542" t="s">
        <v>83</v>
      </c>
      <c r="H3" s="530"/>
    </row>
    <row r="4" spans="1:9" s="20" customFormat="1" ht="18.75" thickBot="1" x14ac:dyDescent="0.3">
      <c r="A4" s="411"/>
      <c r="B4" s="1489">
        <f>+'Complete This Page'!B3</f>
        <v>0</v>
      </c>
      <c r="C4" s="1489"/>
      <c r="D4" s="1489"/>
      <c r="E4" s="1489"/>
      <c r="F4" s="544"/>
      <c r="G4" s="1490">
        <f>+'Complete This Page'!G3</f>
        <v>0</v>
      </c>
      <c r="H4" s="1491"/>
    </row>
    <row r="5" spans="1:9" s="1" customFormat="1" ht="12.75" customHeight="1" x14ac:dyDescent="0.2">
      <c r="A5" s="530"/>
      <c r="B5" s="1477" t="s">
        <v>1060</v>
      </c>
      <c r="C5" s="1478"/>
      <c r="D5" s="1468" t="s">
        <v>1035</v>
      </c>
      <c r="E5" s="1469"/>
      <c r="F5" s="1469"/>
      <c r="G5" s="1452" t="s">
        <v>1036</v>
      </c>
      <c r="H5" s="1453"/>
    </row>
    <row r="6" spans="1:9" s="20" customFormat="1" ht="24" customHeight="1" x14ac:dyDescent="0.25">
      <c r="A6" s="529"/>
      <c r="B6" s="1479"/>
      <c r="C6" s="1480"/>
      <c r="D6" s="1474" t="s">
        <v>1037</v>
      </c>
      <c r="E6" s="1475"/>
      <c r="F6" s="1475"/>
      <c r="G6" s="1450" t="s">
        <v>1038</v>
      </c>
      <c r="H6" s="1451"/>
    </row>
    <row r="7" spans="1:9" x14ac:dyDescent="0.2">
      <c r="A7" s="532">
        <v>1</v>
      </c>
      <c r="B7" s="1457" t="s">
        <v>84</v>
      </c>
      <c r="C7" s="1476"/>
      <c r="D7" s="536">
        <f t="shared" ref="D7:D16" si="0">+A7</f>
        <v>1</v>
      </c>
      <c r="E7" s="549"/>
      <c r="F7" s="536"/>
      <c r="G7" s="549"/>
      <c r="H7" s="415"/>
      <c r="I7" s="3"/>
    </row>
    <row r="8" spans="1:9" ht="25.5" customHeight="1" x14ac:dyDescent="0.2">
      <c r="A8" s="533">
        <f t="shared" ref="A8:A33" si="1">+A7+1</f>
        <v>2</v>
      </c>
      <c r="B8" s="1459" t="s">
        <v>1061</v>
      </c>
      <c r="C8" s="1461"/>
      <c r="D8" s="536">
        <f t="shared" si="0"/>
        <v>2</v>
      </c>
      <c r="E8" s="550"/>
      <c r="F8" s="536"/>
      <c r="G8" s="549"/>
      <c r="H8" s="528"/>
      <c r="I8" s="3"/>
    </row>
    <row r="9" spans="1:9" x14ac:dyDescent="0.2">
      <c r="A9" s="534">
        <f t="shared" si="1"/>
        <v>3</v>
      </c>
      <c r="B9" s="531" t="s">
        <v>86</v>
      </c>
      <c r="C9" s="174"/>
      <c r="D9" s="537">
        <f t="shared" si="0"/>
        <v>3</v>
      </c>
      <c r="E9" s="551"/>
      <c r="F9" s="537"/>
      <c r="G9" s="551"/>
      <c r="H9" s="528"/>
      <c r="I9" s="3"/>
    </row>
    <row r="10" spans="1:9" ht="38.25" customHeight="1" x14ac:dyDescent="0.2">
      <c r="A10" s="533">
        <f t="shared" si="1"/>
        <v>4</v>
      </c>
      <c r="B10" s="1459" t="s">
        <v>1042</v>
      </c>
      <c r="C10" s="1461"/>
      <c r="D10" s="538">
        <f t="shared" si="0"/>
        <v>4</v>
      </c>
      <c r="E10" s="552"/>
      <c r="F10" s="537"/>
      <c r="G10" s="514"/>
      <c r="H10" s="528"/>
      <c r="I10" s="3"/>
    </row>
    <row r="11" spans="1:9" x14ac:dyDescent="0.2">
      <c r="A11" s="534">
        <f t="shared" si="1"/>
        <v>5</v>
      </c>
      <c r="B11" s="1457" t="s">
        <v>88</v>
      </c>
      <c r="C11" s="1476"/>
      <c r="D11" s="538">
        <f t="shared" si="0"/>
        <v>5</v>
      </c>
      <c r="E11" s="37">
        <f>SUM(E8:E10)</f>
        <v>0</v>
      </c>
      <c r="F11" s="536"/>
      <c r="G11" s="554">
        <f>SUM(G8:G10)</f>
        <v>0</v>
      </c>
      <c r="H11" s="415"/>
      <c r="I11" s="3"/>
    </row>
    <row r="12" spans="1:9" x14ac:dyDescent="0.2">
      <c r="A12" s="534">
        <f t="shared" si="1"/>
        <v>6</v>
      </c>
      <c r="B12" s="1457" t="s">
        <v>89</v>
      </c>
      <c r="C12" s="1476"/>
      <c r="D12" s="538">
        <f t="shared" si="0"/>
        <v>6</v>
      </c>
      <c r="E12" s="37">
        <f>+E7-E11</f>
        <v>0</v>
      </c>
      <c r="F12" s="536"/>
      <c r="G12" s="555">
        <f>G7-G11</f>
        <v>0</v>
      </c>
      <c r="H12" s="384"/>
      <c r="I12" s="3"/>
    </row>
    <row r="13" spans="1:9" ht="25.5" customHeight="1" x14ac:dyDescent="0.2">
      <c r="A13" s="533">
        <f t="shared" si="1"/>
        <v>7</v>
      </c>
      <c r="B13" s="1459" t="s">
        <v>1043</v>
      </c>
      <c r="C13" s="1460"/>
      <c r="D13" s="538">
        <f t="shared" si="0"/>
        <v>7</v>
      </c>
      <c r="E13" s="553"/>
      <c r="F13" s="536"/>
      <c r="G13" s="551"/>
      <c r="H13" s="384"/>
      <c r="I13" s="3"/>
    </row>
    <row r="14" spans="1:9" ht="25.5" customHeight="1" x14ac:dyDescent="0.2">
      <c r="A14" s="533">
        <f t="shared" si="1"/>
        <v>8</v>
      </c>
      <c r="B14" s="1459" t="s">
        <v>1044</v>
      </c>
      <c r="C14" s="1460"/>
      <c r="D14" s="538">
        <f t="shared" si="0"/>
        <v>8</v>
      </c>
      <c r="E14" s="37">
        <f>+E12+E13</f>
        <v>0</v>
      </c>
      <c r="F14" s="536"/>
      <c r="G14" s="555">
        <f>+G12+G13</f>
        <v>0</v>
      </c>
      <c r="H14" s="384"/>
      <c r="I14" s="3"/>
    </row>
    <row r="15" spans="1:9" x14ac:dyDescent="0.2">
      <c r="A15" s="534">
        <f t="shared" si="1"/>
        <v>9</v>
      </c>
      <c r="B15" s="531" t="s">
        <v>92</v>
      </c>
      <c r="C15" s="174"/>
      <c r="D15" s="538">
        <f t="shared" si="0"/>
        <v>9</v>
      </c>
      <c r="E15" s="37">
        <v>0</v>
      </c>
      <c r="F15" s="536"/>
      <c r="G15" s="555">
        <v>0</v>
      </c>
      <c r="H15" s="384"/>
      <c r="I15" s="3"/>
    </row>
    <row r="16" spans="1:9" ht="38.25" customHeight="1" x14ac:dyDescent="0.2">
      <c r="A16" s="533" t="s">
        <v>1039</v>
      </c>
      <c r="B16" s="1497" t="s">
        <v>1045</v>
      </c>
      <c r="C16" s="1498"/>
      <c r="D16" s="538" t="str">
        <f t="shared" si="0"/>
        <v>10a</v>
      </c>
      <c r="E16" s="37">
        <f>IF(E14-E15 &lt;0, 0, E14-E15)</f>
        <v>0</v>
      </c>
      <c r="F16" s="536"/>
      <c r="G16" s="546"/>
      <c r="H16" s="547"/>
      <c r="I16" s="3"/>
    </row>
    <row r="17" spans="1:9" ht="51" customHeight="1" x14ac:dyDescent="0.2">
      <c r="A17" s="535" t="s">
        <v>1040</v>
      </c>
      <c r="B17" s="1497" t="s">
        <v>1046</v>
      </c>
      <c r="C17" s="1498"/>
      <c r="D17" s="538" t="s">
        <v>1041</v>
      </c>
      <c r="E17" s="541"/>
      <c r="F17" s="545"/>
      <c r="G17" s="219">
        <f>IF(G14-G15 &lt;0, 0, G14-G15)</f>
        <v>0</v>
      </c>
      <c r="H17" s="384"/>
      <c r="I17" s="3"/>
    </row>
    <row r="18" spans="1:9" x14ac:dyDescent="0.2">
      <c r="A18" s="534">
        <v>11</v>
      </c>
      <c r="B18" s="1462" t="s">
        <v>1059</v>
      </c>
      <c r="C18" s="1463"/>
      <c r="D18" s="1463"/>
      <c r="E18" s="1463"/>
      <c r="F18" s="323">
        <f t="shared" ref="F18:F33" si="2">+A18</f>
        <v>11</v>
      </c>
      <c r="G18" s="430">
        <f>+G46</f>
        <v>0</v>
      </c>
      <c r="H18" s="384"/>
      <c r="I18" s="3"/>
    </row>
    <row r="19" spans="1:9" ht="25.5" customHeight="1" x14ac:dyDescent="0.2">
      <c r="A19" s="533">
        <f t="shared" si="1"/>
        <v>12</v>
      </c>
      <c r="B19" s="1459" t="s">
        <v>1047</v>
      </c>
      <c r="C19" s="1460"/>
      <c r="D19" s="1460"/>
      <c r="E19" s="1460"/>
      <c r="F19" s="323">
        <f t="shared" si="2"/>
        <v>12</v>
      </c>
      <c r="G19" s="219">
        <f>IF(G18&lt;0, 0, IF(G18&lt;G17,G18,G17))</f>
        <v>0</v>
      </c>
      <c r="H19" s="384"/>
      <c r="I19" s="3"/>
    </row>
    <row r="20" spans="1:9" x14ac:dyDescent="0.2">
      <c r="A20" s="534">
        <f t="shared" si="1"/>
        <v>13</v>
      </c>
      <c r="B20" s="1441" t="str">
        <f>IF(G1&lt;2010,"Enter 6% of line 12","Enter 9% of Line 12")</f>
        <v>Enter 9% of Line 12</v>
      </c>
      <c r="C20" s="1439"/>
      <c r="D20" s="1439"/>
      <c r="E20" s="1439"/>
      <c r="F20" s="323">
        <f t="shared" si="2"/>
        <v>13</v>
      </c>
      <c r="G20" s="219">
        <f>IF(G1&lt;2010,ROUND(G19*0.06,0),ROUND(G19*0.09,0))</f>
        <v>0</v>
      </c>
      <c r="H20" s="384"/>
      <c r="I20" s="3"/>
    </row>
    <row r="21" spans="1:9" x14ac:dyDescent="0.2">
      <c r="A21" s="534" t="s">
        <v>1049</v>
      </c>
      <c r="B21" s="1466" t="s">
        <v>1048</v>
      </c>
      <c r="C21" s="1467"/>
      <c r="D21" s="557" t="str">
        <f>+A21</f>
        <v>14a</v>
      </c>
      <c r="E21" s="558">
        <f>IF(E16&lt;G19, E16, G19)</f>
        <v>0</v>
      </c>
      <c r="F21" s="548"/>
      <c r="G21" s="540"/>
      <c r="H21" s="547"/>
      <c r="I21" s="3"/>
    </row>
    <row r="22" spans="1:9" x14ac:dyDescent="0.2">
      <c r="A22" s="539" t="s">
        <v>1040</v>
      </c>
      <c r="B22" s="1466" t="s">
        <v>1050</v>
      </c>
      <c r="C22" s="1467"/>
      <c r="D22" s="1467"/>
      <c r="E22" s="1467"/>
      <c r="F22" s="323" t="s">
        <v>1052</v>
      </c>
      <c r="G22" s="219">
        <f>ROUND(E21*0.03,0)</f>
        <v>0</v>
      </c>
      <c r="H22" s="384"/>
      <c r="I22" s="3"/>
    </row>
    <row r="23" spans="1:9" x14ac:dyDescent="0.2">
      <c r="A23" s="539">
        <v>15</v>
      </c>
      <c r="B23" s="556" t="s">
        <v>1051</v>
      </c>
      <c r="C23" s="183"/>
      <c r="D23" s="183"/>
      <c r="E23" s="183"/>
      <c r="F23" s="323">
        <f>+A23</f>
        <v>15</v>
      </c>
      <c r="G23" s="219">
        <f>+G20-G22</f>
        <v>0</v>
      </c>
      <c r="H23" s="384"/>
      <c r="I23" s="3"/>
    </row>
    <row r="24" spans="1:9" x14ac:dyDescent="0.2">
      <c r="A24" s="534">
        <v>16</v>
      </c>
      <c r="B24" s="1457" t="s">
        <v>95</v>
      </c>
      <c r="C24" s="1458"/>
      <c r="D24" s="1499"/>
      <c r="E24" s="1499"/>
      <c r="F24" s="323">
        <f t="shared" si="2"/>
        <v>16</v>
      </c>
      <c r="G24" s="419"/>
      <c r="H24" s="384"/>
    </row>
    <row r="25" spans="1:9" x14ac:dyDescent="0.2">
      <c r="A25" s="534">
        <f t="shared" si="1"/>
        <v>17</v>
      </c>
      <c r="B25" s="1457" t="s">
        <v>1053</v>
      </c>
      <c r="C25" s="1458"/>
      <c r="D25" s="1458"/>
      <c r="E25" s="1458"/>
      <c r="F25" s="323">
        <f t="shared" si="2"/>
        <v>17</v>
      </c>
      <c r="G25" s="419"/>
      <c r="H25" s="384"/>
    </row>
    <row r="26" spans="1:9" x14ac:dyDescent="0.2">
      <c r="A26" s="534">
        <f t="shared" si="1"/>
        <v>18</v>
      </c>
      <c r="B26" s="1457" t="s">
        <v>1054</v>
      </c>
      <c r="C26" s="1458"/>
      <c r="D26" s="1458"/>
      <c r="E26" s="1458"/>
      <c r="F26" s="323">
        <f t="shared" si="2"/>
        <v>18</v>
      </c>
      <c r="G26" s="219">
        <f>+G24+G25</f>
        <v>0</v>
      </c>
      <c r="H26" s="384"/>
    </row>
    <row r="27" spans="1:9" x14ac:dyDescent="0.2">
      <c r="A27" s="534">
        <f t="shared" si="1"/>
        <v>19</v>
      </c>
      <c r="B27" s="1457" t="s">
        <v>92</v>
      </c>
      <c r="C27" s="1458"/>
      <c r="D27" s="1458"/>
      <c r="E27" s="1458"/>
      <c r="F27" s="323">
        <f t="shared" si="2"/>
        <v>19</v>
      </c>
      <c r="G27" s="219">
        <v>0</v>
      </c>
      <c r="H27" s="384"/>
    </row>
    <row r="28" spans="1:9" x14ac:dyDescent="0.2">
      <c r="A28" s="534">
        <f t="shared" si="1"/>
        <v>20</v>
      </c>
      <c r="B28" s="1457" t="s">
        <v>1055</v>
      </c>
      <c r="C28" s="1458"/>
      <c r="D28" s="1458"/>
      <c r="E28" s="1458"/>
      <c r="F28" s="323">
        <f t="shared" si="2"/>
        <v>20</v>
      </c>
      <c r="G28" s="219">
        <f>+G26-G27</f>
        <v>0</v>
      </c>
      <c r="H28" s="384"/>
    </row>
    <row r="29" spans="1:9" x14ac:dyDescent="0.2">
      <c r="A29" s="534">
        <f t="shared" si="1"/>
        <v>21</v>
      </c>
      <c r="B29" s="1457" t="s">
        <v>1062</v>
      </c>
      <c r="C29" s="1458"/>
      <c r="D29" s="1458"/>
      <c r="E29" s="1458"/>
      <c r="F29" s="323">
        <f t="shared" si="2"/>
        <v>21</v>
      </c>
      <c r="G29" s="219">
        <f>ROUND(G28*0.5,0)</f>
        <v>0</v>
      </c>
      <c r="H29" s="384"/>
    </row>
    <row r="30" spans="1:9" x14ac:dyDescent="0.2">
      <c r="A30" s="534">
        <f t="shared" si="1"/>
        <v>22</v>
      </c>
      <c r="B30" s="1457" t="s">
        <v>1056</v>
      </c>
      <c r="C30" s="1458"/>
      <c r="D30" s="1458"/>
      <c r="E30" s="1458"/>
      <c r="F30" s="323">
        <f t="shared" si="2"/>
        <v>22</v>
      </c>
      <c r="G30" s="219">
        <f>IF(G29&lt;G23, G29,G23)</f>
        <v>0</v>
      </c>
      <c r="H30" s="384"/>
    </row>
    <row r="31" spans="1:9" x14ac:dyDescent="0.2">
      <c r="A31" s="534">
        <f t="shared" si="1"/>
        <v>23</v>
      </c>
      <c r="B31" s="1457" t="s">
        <v>742</v>
      </c>
      <c r="C31" s="1458"/>
      <c r="D31" s="1458"/>
      <c r="E31" s="1458"/>
      <c r="F31" s="323">
        <f t="shared" si="2"/>
        <v>23</v>
      </c>
      <c r="G31" s="419"/>
      <c r="H31" s="384"/>
    </row>
    <row r="32" spans="1:9" x14ac:dyDescent="0.2">
      <c r="A32" s="534">
        <f t="shared" si="1"/>
        <v>24</v>
      </c>
      <c r="B32" s="1457" t="s">
        <v>743</v>
      </c>
      <c r="C32" s="1458"/>
      <c r="D32" s="1458"/>
      <c r="E32" s="1458"/>
      <c r="F32" s="323">
        <f t="shared" si="2"/>
        <v>24</v>
      </c>
      <c r="G32" s="419"/>
      <c r="H32" s="384"/>
    </row>
    <row r="33" spans="1:8" x14ac:dyDescent="0.2">
      <c r="A33" s="534">
        <f t="shared" si="1"/>
        <v>25</v>
      </c>
      <c r="B33" s="1464" t="s">
        <v>1058</v>
      </c>
      <c r="C33" s="1465"/>
      <c r="D33" s="1465"/>
      <c r="E33" s="1465"/>
      <c r="F33" s="323">
        <f t="shared" si="2"/>
        <v>25</v>
      </c>
      <c r="G33" s="219">
        <f>SUM(G30:G32)</f>
        <v>0</v>
      </c>
      <c r="H33" s="384"/>
    </row>
    <row r="34" spans="1:8" ht="13.5" thickBot="1" x14ac:dyDescent="0.25">
      <c r="D34" s="16"/>
      <c r="E34" s="16"/>
      <c r="F34" s="381"/>
      <c r="G34" s="424"/>
      <c r="H34" s="222"/>
    </row>
    <row r="35" spans="1:8" ht="18.75" thickBot="1" x14ac:dyDescent="0.3">
      <c r="A35" s="1454" t="s">
        <v>747</v>
      </c>
      <c r="B35" s="1454"/>
      <c r="C35" s="1454"/>
      <c r="D35" s="1454"/>
      <c r="E35" s="1454"/>
      <c r="F35" s="1454"/>
      <c r="G35" s="1454"/>
      <c r="H35" s="1454"/>
    </row>
    <row r="36" spans="1:8" x14ac:dyDescent="0.2">
      <c r="A36" s="425">
        <v>26</v>
      </c>
      <c r="B36" s="1455" t="s">
        <v>745</v>
      </c>
      <c r="C36" s="1456"/>
      <c r="D36" s="1456"/>
      <c r="E36" s="1456"/>
      <c r="F36" s="323">
        <f>+A36</f>
        <v>26</v>
      </c>
      <c r="G36" s="428">
        <f>+'Fed Carryovers'!H21</f>
        <v>0</v>
      </c>
      <c r="H36" s="415"/>
    </row>
    <row r="37" spans="1:8" x14ac:dyDescent="0.2">
      <c r="A37" s="425">
        <f t="shared" ref="A37:A46" si="3">+A36+1</f>
        <v>27</v>
      </c>
      <c r="B37" s="1496" t="s">
        <v>1448</v>
      </c>
      <c r="C37" s="1371"/>
      <c r="D37" s="383">
        <f>+A37</f>
        <v>27</v>
      </c>
      <c r="E37" s="419"/>
      <c r="F37" s="418"/>
      <c r="G37" s="678"/>
      <c r="H37" s="24"/>
    </row>
    <row r="38" spans="1:8" x14ac:dyDescent="0.2">
      <c r="A38" s="425">
        <f t="shared" si="3"/>
        <v>28</v>
      </c>
      <c r="B38" s="1496" t="s">
        <v>1449</v>
      </c>
      <c r="C38" s="1371"/>
      <c r="D38" s="383">
        <f>+A38</f>
        <v>28</v>
      </c>
      <c r="E38" s="419"/>
      <c r="F38" s="418"/>
      <c r="G38" s="678"/>
      <c r="H38" s="24"/>
    </row>
    <row r="39" spans="1:8" x14ac:dyDescent="0.2">
      <c r="A39" s="425">
        <f t="shared" si="3"/>
        <v>29</v>
      </c>
      <c r="B39" s="1496" t="s">
        <v>1450</v>
      </c>
      <c r="C39" s="1370"/>
      <c r="D39" s="1370"/>
      <c r="E39" s="1371"/>
      <c r="F39" s="677">
        <f>+A39</f>
        <v>29</v>
      </c>
      <c r="G39" s="678">
        <f>ABS(E37)+ABS(E38)</f>
        <v>0</v>
      </c>
      <c r="H39" s="24"/>
    </row>
    <row r="40" spans="1:8" ht="12.75" customHeight="1" x14ac:dyDescent="0.2">
      <c r="A40" s="425">
        <f t="shared" si="3"/>
        <v>30</v>
      </c>
      <c r="B40" s="1496" t="s">
        <v>1451</v>
      </c>
      <c r="C40" s="1370"/>
      <c r="D40" s="1370"/>
      <c r="E40" s="1371"/>
      <c r="F40" s="383">
        <f>+A40</f>
        <v>30</v>
      </c>
      <c r="G40" s="679">
        <f>+G36-G39</f>
        <v>0</v>
      </c>
      <c r="H40" s="384"/>
    </row>
    <row r="41" spans="1:8" ht="12.75" customHeight="1" x14ac:dyDescent="0.2">
      <c r="A41" s="425">
        <f t="shared" si="3"/>
        <v>31</v>
      </c>
      <c r="B41" s="1472" t="s">
        <v>1452</v>
      </c>
      <c r="C41" s="1473"/>
      <c r="D41" s="383">
        <f>+A41</f>
        <v>31</v>
      </c>
      <c r="E41" s="429">
        <f>+'Fed Carryovers'!H25</f>
        <v>0</v>
      </c>
      <c r="F41" s="418"/>
      <c r="G41" s="268"/>
      <c r="H41" s="24"/>
    </row>
    <row r="42" spans="1:8" x14ac:dyDescent="0.2">
      <c r="A42" s="416">
        <f t="shared" si="3"/>
        <v>32</v>
      </c>
      <c r="B42" s="1470" t="s">
        <v>1453</v>
      </c>
      <c r="C42" s="1471"/>
      <c r="D42" s="383">
        <f>+A42</f>
        <v>32</v>
      </c>
      <c r="E42" s="429">
        <f>+'Fed Carryovers'!H29-'Fed Carryovers'!H27</f>
        <v>0</v>
      </c>
      <c r="F42" s="418"/>
      <c r="G42" s="268"/>
      <c r="H42" s="24"/>
    </row>
    <row r="43" spans="1:8" x14ac:dyDescent="0.2">
      <c r="A43" s="416">
        <f t="shared" si="3"/>
        <v>33</v>
      </c>
      <c r="B43" s="1470" t="s">
        <v>1454</v>
      </c>
      <c r="C43" s="1471"/>
      <c r="D43" s="383">
        <f>+A43</f>
        <v>33</v>
      </c>
      <c r="E43" s="429">
        <f>IF(Data!F9=TRUE,0,Data!C159)</f>
        <v>0</v>
      </c>
      <c r="F43" s="418"/>
      <c r="G43" s="268"/>
      <c r="H43" s="24"/>
    </row>
    <row r="44" spans="1:8" x14ac:dyDescent="0.2">
      <c r="A44" s="416">
        <f t="shared" si="3"/>
        <v>34</v>
      </c>
      <c r="B44" s="1470" t="s">
        <v>1455</v>
      </c>
      <c r="C44" s="1471"/>
      <c r="D44" s="383">
        <f>+A44</f>
        <v>34</v>
      </c>
      <c r="E44" s="429">
        <f>IF(Data!F9=TRUE,0,Data!C148)</f>
        <v>0</v>
      </c>
      <c r="F44" s="418"/>
      <c r="G44" s="268"/>
      <c r="H44" s="24"/>
    </row>
    <row r="45" spans="1:8" ht="13.5" thickBot="1" x14ac:dyDescent="0.25">
      <c r="A45" s="382">
        <f t="shared" si="3"/>
        <v>35</v>
      </c>
      <c r="B45" s="1455" t="str">
        <f>CONCATENATE("Combine lines ",A41," through ",A44)</f>
        <v>Combine lines 31 through 34</v>
      </c>
      <c r="C45" s="1456"/>
      <c r="D45" s="1456"/>
      <c r="E45" s="1456"/>
      <c r="F45" s="432">
        <f>+A45</f>
        <v>35</v>
      </c>
      <c r="G45" s="433">
        <f>SUM(E41:E44)</f>
        <v>0</v>
      </c>
      <c r="H45" s="434"/>
    </row>
    <row r="46" spans="1:8" x14ac:dyDescent="0.2">
      <c r="A46" s="382">
        <f t="shared" si="3"/>
        <v>36</v>
      </c>
      <c r="B46" s="1455" t="s">
        <v>746</v>
      </c>
      <c r="C46" s="1456"/>
      <c r="D46" s="1456"/>
      <c r="E46" s="1456"/>
      <c r="F46" s="323">
        <f>+A46</f>
        <v>36</v>
      </c>
      <c r="G46" s="427">
        <f>+G40+G45</f>
        <v>0</v>
      </c>
      <c r="H46" s="415"/>
    </row>
    <row r="47" spans="1:8" s="10" customFormat="1" ht="11.25" x14ac:dyDescent="0.2">
      <c r="A47" s="431" t="s">
        <v>1063</v>
      </c>
    </row>
  </sheetData>
  <sheetProtection algorithmName="SHA-512" hashValue="HKkLBN4rjKCiSXnqpRCagTTvripaEdrVi5s8U6+qJ5KRl09UYMB06xhb++5vYqbOhhWOQeJwXQ66R8ZUPLwpuA==" saltValue="iiDhfs50mAwJ++VPmXhwCA==" spinCount="100000" sheet="1" objects="1" scenarios="1"/>
  <mergeCells count="49">
    <mergeCell ref="B39:E39"/>
    <mergeCell ref="B40:E40"/>
    <mergeCell ref="B16:C16"/>
    <mergeCell ref="B17:C17"/>
    <mergeCell ref="B24:C24"/>
    <mergeCell ref="D24:E24"/>
    <mergeCell ref="B19:E19"/>
    <mergeCell ref="B27:E27"/>
    <mergeCell ref="B28:E28"/>
    <mergeCell ref="B22:E22"/>
    <mergeCell ref="B30:E30"/>
    <mergeCell ref="B37:C37"/>
    <mergeCell ref="B38:C38"/>
    <mergeCell ref="B29:E29"/>
    <mergeCell ref="G1:H1"/>
    <mergeCell ref="C1:F1"/>
    <mergeCell ref="C2:F2"/>
    <mergeCell ref="B4:E4"/>
    <mergeCell ref="G4:H4"/>
    <mergeCell ref="A2:B2"/>
    <mergeCell ref="G2:H2"/>
    <mergeCell ref="D6:F6"/>
    <mergeCell ref="B12:C12"/>
    <mergeCell ref="B7:C7"/>
    <mergeCell ref="B8:C8"/>
    <mergeCell ref="B5:C6"/>
    <mergeCell ref="B11:C11"/>
    <mergeCell ref="B46:E46"/>
    <mergeCell ref="B44:C44"/>
    <mergeCell ref="B42:C42"/>
    <mergeCell ref="B41:C41"/>
    <mergeCell ref="B43:C43"/>
    <mergeCell ref="B45:E45"/>
    <mergeCell ref="G6:H6"/>
    <mergeCell ref="G5:H5"/>
    <mergeCell ref="A35:H35"/>
    <mergeCell ref="B36:E36"/>
    <mergeCell ref="B31:E31"/>
    <mergeCell ref="B32:E32"/>
    <mergeCell ref="B13:C13"/>
    <mergeCell ref="B10:C10"/>
    <mergeCell ref="B18:E18"/>
    <mergeCell ref="B25:E25"/>
    <mergeCell ref="B26:E26"/>
    <mergeCell ref="B33:E33"/>
    <mergeCell ref="B21:C21"/>
    <mergeCell ref="B20:E20"/>
    <mergeCell ref="B14:C14"/>
    <mergeCell ref="D5:F5"/>
  </mergeCells>
  <phoneticPr fontId="2" type="noConversion"/>
  <conditionalFormatting sqref="D24:E24">
    <cfRule type="expression" dxfId="33" priority="1" stopIfTrue="1">
      <formula>D24&lt;&gt;""</formula>
    </cfRule>
  </conditionalFormatting>
  <printOptions horizontalCentered="1"/>
  <pageMargins left="0.4" right="0.4" top="0.5" bottom="0.5" header="0.5" footer="0.5"/>
  <pageSetup scale="95"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dimension ref="A1:I41"/>
  <sheetViews>
    <sheetView showGridLines="0" workbookViewId="0">
      <selection activeCell="B4" sqref="B4:E4"/>
    </sheetView>
  </sheetViews>
  <sheetFormatPr defaultRowHeight="12.75" x14ac:dyDescent="0.2"/>
  <cols>
    <col min="1" max="1" width="3.7109375" customWidth="1"/>
    <col min="3" max="3" width="45.5703125" customWidth="1"/>
    <col min="4" max="4" width="3.7109375" customWidth="1"/>
    <col min="5" max="5" width="12.7109375" customWidth="1"/>
    <col min="6" max="7" width="3.7109375" customWidth="1"/>
    <col min="8" max="8" width="12.7109375" customWidth="1"/>
    <col min="9" max="9" width="3.7109375" customWidth="1"/>
  </cols>
  <sheetData>
    <row r="1" spans="1:9" ht="23.25" x14ac:dyDescent="0.35">
      <c r="A1" s="61" t="s">
        <v>80</v>
      </c>
      <c r="B1" s="409">
        <v>8903</v>
      </c>
      <c r="C1" s="1483" t="s">
        <v>81</v>
      </c>
      <c r="D1" s="1484"/>
      <c r="E1" s="1484"/>
      <c r="F1" s="1484"/>
      <c r="G1" s="1485"/>
      <c r="H1" s="1481">
        <f>+'Print Schedules'!K1</f>
        <v>2018</v>
      </c>
      <c r="I1" s="1482"/>
    </row>
    <row r="2" spans="1:9" ht="13.5" thickBot="1" x14ac:dyDescent="0.25">
      <c r="A2" s="1492" t="s">
        <v>749</v>
      </c>
      <c r="B2" s="1493"/>
      <c r="C2" s="1486" t="s">
        <v>748</v>
      </c>
      <c r="D2" s="1487"/>
      <c r="E2" s="1487"/>
      <c r="F2" s="1487"/>
      <c r="G2" s="1488"/>
      <c r="H2" s="1494" t="str">
        <f>+'Complete This Page'!J1</f>
        <v>NPAC v2018.0</v>
      </c>
      <c r="I2" s="1495"/>
    </row>
    <row r="3" spans="1:9" s="1" customFormat="1" ht="11.25" x14ac:dyDescent="0.2">
      <c r="A3" s="61" t="s">
        <v>82</v>
      </c>
      <c r="B3" s="61"/>
      <c r="C3" s="61"/>
      <c r="D3" s="61"/>
      <c r="E3" s="61"/>
      <c r="F3" s="61"/>
      <c r="G3" s="410" t="s">
        <v>83</v>
      </c>
      <c r="H3" s="61"/>
      <c r="I3" s="61"/>
    </row>
    <row r="4" spans="1:9" s="20" customFormat="1" ht="18.75" thickBot="1" x14ac:dyDescent="0.3">
      <c r="A4" s="411"/>
      <c r="B4" s="1501">
        <f>+'Complete This Page'!B3</f>
        <v>0</v>
      </c>
      <c r="C4" s="1501"/>
      <c r="D4" s="1501"/>
      <c r="E4" s="1501"/>
      <c r="F4" s="411"/>
      <c r="G4" s="412"/>
      <c r="H4" s="1491">
        <f>+'Complete This Page'!G3</f>
        <v>0</v>
      </c>
      <c r="I4" s="1491"/>
    </row>
    <row r="5" spans="1:9" ht="20.100000000000001" customHeight="1" x14ac:dyDescent="0.2">
      <c r="A5" s="413">
        <v>1</v>
      </c>
      <c r="B5" s="1503" t="s">
        <v>84</v>
      </c>
      <c r="C5" s="1504"/>
      <c r="D5" s="1505" t="str">
        <f>IF('Complete This Page'!I67="","",IF(H5&gt;'Complete This Page'!I67,"Warning: DPGR exceeds Gross Receipts",""))</f>
        <v/>
      </c>
      <c r="E5" s="1505"/>
      <c r="F5" s="1506"/>
      <c r="G5" s="323">
        <f>+A5</f>
        <v>1</v>
      </c>
      <c r="H5" s="414"/>
      <c r="I5" s="415"/>
    </row>
    <row r="6" spans="1:9" ht="25.5" customHeight="1" x14ac:dyDescent="0.2">
      <c r="A6" s="416">
        <f t="shared" ref="A6:A27" si="0">+A5+1</f>
        <v>2</v>
      </c>
      <c r="B6" s="1029" t="s">
        <v>85</v>
      </c>
      <c r="C6" s="1502"/>
      <c r="D6" s="323">
        <f>+A6</f>
        <v>2</v>
      </c>
      <c r="E6" s="414"/>
      <c r="F6" s="417"/>
      <c r="G6" s="418"/>
      <c r="H6" s="126"/>
      <c r="I6" s="24"/>
    </row>
    <row r="7" spans="1:9" ht="20.100000000000001" customHeight="1" x14ac:dyDescent="0.2">
      <c r="A7" s="382">
        <f t="shared" si="0"/>
        <v>3</v>
      </c>
      <c r="B7" s="384" t="s">
        <v>86</v>
      </c>
      <c r="C7" s="173"/>
      <c r="D7" s="383">
        <f>+A7</f>
        <v>3</v>
      </c>
      <c r="E7" s="419"/>
      <c r="F7" s="420"/>
      <c r="G7" s="418"/>
      <c r="H7" s="126"/>
      <c r="I7" s="24"/>
    </row>
    <row r="8" spans="1:9" ht="20.100000000000001" customHeight="1" x14ac:dyDescent="0.2">
      <c r="A8" s="382">
        <f t="shared" si="0"/>
        <v>4</v>
      </c>
      <c r="B8" s="384" t="s">
        <v>87</v>
      </c>
      <c r="C8" s="173"/>
      <c r="D8" s="421">
        <f>+A8</f>
        <v>4</v>
      </c>
      <c r="E8" s="422"/>
      <c r="F8" s="423"/>
      <c r="G8" s="418"/>
      <c r="H8" s="126"/>
      <c r="I8" s="24"/>
    </row>
    <row r="9" spans="1:9" ht="20.100000000000001" customHeight="1" x14ac:dyDescent="0.2">
      <c r="A9" s="382">
        <f t="shared" si="0"/>
        <v>5</v>
      </c>
      <c r="B9" s="1021" t="s">
        <v>88</v>
      </c>
      <c r="C9" s="1021"/>
      <c r="D9" s="1021"/>
      <c r="E9" s="1021"/>
      <c r="F9" s="1021"/>
      <c r="G9" s="323">
        <f t="shared" ref="G9:G27" si="1">+A9</f>
        <v>5</v>
      </c>
      <c r="H9" s="224">
        <f>SUM(E6:E8)</f>
        <v>0</v>
      </c>
      <c r="I9" s="415"/>
    </row>
    <row r="10" spans="1:9" ht="20.100000000000001" customHeight="1" x14ac:dyDescent="0.2">
      <c r="A10" s="382">
        <f t="shared" si="0"/>
        <v>6</v>
      </c>
      <c r="B10" s="1021" t="s">
        <v>89</v>
      </c>
      <c r="C10" s="1021"/>
      <c r="D10" s="1021"/>
      <c r="E10" s="1021"/>
      <c r="F10" s="1021"/>
      <c r="G10" s="323">
        <f t="shared" si="1"/>
        <v>6</v>
      </c>
      <c r="H10" s="219">
        <f>H5-H9</f>
        <v>0</v>
      </c>
      <c r="I10" s="384"/>
    </row>
    <row r="11" spans="1:9" ht="20.100000000000001" customHeight="1" x14ac:dyDescent="0.2">
      <c r="A11" s="382">
        <f t="shared" si="0"/>
        <v>7</v>
      </c>
      <c r="B11" s="1441" t="s">
        <v>90</v>
      </c>
      <c r="C11" s="1439"/>
      <c r="D11" s="1439"/>
      <c r="E11" s="1439"/>
      <c r="F11" s="1440"/>
      <c r="G11" s="323">
        <f t="shared" si="1"/>
        <v>7</v>
      </c>
      <c r="H11" s="419"/>
      <c r="I11" s="384"/>
    </row>
    <row r="12" spans="1:9" ht="20.100000000000001" customHeight="1" x14ac:dyDescent="0.2">
      <c r="A12" s="382">
        <f t="shared" si="0"/>
        <v>8</v>
      </c>
      <c r="B12" s="1441" t="s">
        <v>91</v>
      </c>
      <c r="C12" s="1439"/>
      <c r="D12" s="1439"/>
      <c r="E12" s="1439"/>
      <c r="F12" s="1440"/>
      <c r="G12" s="323">
        <f t="shared" si="1"/>
        <v>8</v>
      </c>
      <c r="H12" s="219">
        <f>+H10+H11</f>
        <v>0</v>
      </c>
      <c r="I12" s="384"/>
    </row>
    <row r="13" spans="1:9" ht="20.100000000000001" customHeight="1" x14ac:dyDescent="0.2">
      <c r="A13" s="382">
        <f t="shared" si="0"/>
        <v>9</v>
      </c>
      <c r="B13" s="1441" t="s">
        <v>92</v>
      </c>
      <c r="C13" s="1439"/>
      <c r="D13" s="1439"/>
      <c r="E13" s="1439"/>
      <c r="F13" s="1440"/>
      <c r="G13" s="323">
        <f t="shared" si="1"/>
        <v>9</v>
      </c>
      <c r="H13" s="219">
        <v>0</v>
      </c>
      <c r="I13" s="384"/>
    </row>
    <row r="14" spans="1:9" ht="25.5" customHeight="1" x14ac:dyDescent="0.2">
      <c r="A14" s="416">
        <f t="shared" si="0"/>
        <v>10</v>
      </c>
      <c r="B14" s="1462" t="s">
        <v>93</v>
      </c>
      <c r="C14" s="1463"/>
      <c r="D14" s="1463"/>
      <c r="E14" s="1463"/>
      <c r="F14" s="1500"/>
      <c r="G14" s="323">
        <f t="shared" si="1"/>
        <v>10</v>
      </c>
      <c r="H14" s="219">
        <f>IF(H12-H13 &lt;0, 0, H12-H13)</f>
        <v>0</v>
      </c>
      <c r="I14" s="384"/>
    </row>
    <row r="15" spans="1:9" ht="20.100000000000001" customHeight="1" x14ac:dyDescent="0.2">
      <c r="A15" s="382">
        <f t="shared" si="0"/>
        <v>11</v>
      </c>
      <c r="B15" s="1462" t="s">
        <v>410</v>
      </c>
      <c r="C15" s="1463"/>
      <c r="D15" s="1463"/>
      <c r="E15" s="1463"/>
      <c r="F15" s="1500"/>
      <c r="G15" s="323">
        <f t="shared" si="1"/>
        <v>11</v>
      </c>
      <c r="H15" s="430">
        <f>+H40</f>
        <v>0</v>
      </c>
      <c r="I15" s="384"/>
    </row>
    <row r="16" spans="1:9" ht="20.100000000000001" customHeight="1" x14ac:dyDescent="0.2">
      <c r="A16" s="382">
        <f t="shared" si="0"/>
        <v>12</v>
      </c>
      <c r="B16" s="1441" t="s">
        <v>94</v>
      </c>
      <c r="C16" s="1439"/>
      <c r="D16" s="1439"/>
      <c r="E16" s="1439"/>
      <c r="F16" s="1440"/>
      <c r="G16" s="323">
        <f t="shared" si="1"/>
        <v>12</v>
      </c>
      <c r="H16" s="219">
        <f>IF(H15&lt;0, 0, IF(H15&lt;H14,H15,H14))</f>
        <v>0</v>
      </c>
      <c r="I16" s="384"/>
    </row>
    <row r="17" spans="1:9" ht="20.100000000000001" customHeight="1" x14ac:dyDescent="0.2">
      <c r="A17" s="382">
        <f t="shared" si="0"/>
        <v>13</v>
      </c>
      <c r="B17" s="1441" t="str">
        <f>IF(H1&lt;2010,"Enter 6% of line 12","Enter 9% of Line 12")</f>
        <v>Enter 9% of Line 12</v>
      </c>
      <c r="C17" s="1439"/>
      <c r="D17" s="1439"/>
      <c r="E17" s="1439"/>
      <c r="F17" s="1440"/>
      <c r="G17" s="323">
        <f t="shared" si="1"/>
        <v>13</v>
      </c>
      <c r="H17" s="219">
        <f>IF(H1&lt;2010,ROUND(H16*0.06,0),ROUND(H16*0.09,0))</f>
        <v>0</v>
      </c>
      <c r="I17" s="384"/>
    </row>
    <row r="18" spans="1:9" ht="20.100000000000001" customHeight="1" x14ac:dyDescent="0.2">
      <c r="A18" s="382">
        <f t="shared" si="0"/>
        <v>14</v>
      </c>
      <c r="B18" s="1441" t="s">
        <v>95</v>
      </c>
      <c r="C18" s="1439"/>
      <c r="D18" s="1509" t="str">
        <f>IF(SUM('Complete This Page'!I68:I70) = 0,"",IF(H18&gt;SUM('Complete This Page'!I68:I70),"Warning: Wages exceed total wages",""))</f>
        <v/>
      </c>
      <c r="E18" s="1509"/>
      <c r="F18" s="1510"/>
      <c r="G18" s="323">
        <f t="shared" si="1"/>
        <v>14</v>
      </c>
      <c r="H18" s="419"/>
      <c r="I18" s="384"/>
    </row>
    <row r="19" spans="1:9" ht="20.100000000000001" customHeight="1" x14ac:dyDescent="0.2">
      <c r="A19" s="382">
        <f t="shared" si="0"/>
        <v>15</v>
      </c>
      <c r="B19" s="1441" t="s">
        <v>96</v>
      </c>
      <c r="C19" s="1439"/>
      <c r="D19" s="1439"/>
      <c r="E19" s="1439"/>
      <c r="F19" s="1440"/>
      <c r="G19" s="323">
        <f t="shared" si="1"/>
        <v>15</v>
      </c>
      <c r="H19" s="419"/>
      <c r="I19" s="384"/>
    </row>
    <row r="20" spans="1:9" ht="20.100000000000001" customHeight="1" x14ac:dyDescent="0.2">
      <c r="A20" s="382">
        <f t="shared" si="0"/>
        <v>16</v>
      </c>
      <c r="B20" s="1441" t="s">
        <v>1057</v>
      </c>
      <c r="C20" s="1439"/>
      <c r="D20" s="1439"/>
      <c r="E20" s="1439"/>
      <c r="F20" s="1440"/>
      <c r="G20" s="323">
        <f t="shared" si="1"/>
        <v>16</v>
      </c>
      <c r="H20" s="219">
        <f>+H18+H19</f>
        <v>0</v>
      </c>
      <c r="I20" s="384"/>
    </row>
    <row r="21" spans="1:9" ht="20.100000000000001" customHeight="1" x14ac:dyDescent="0.2">
      <c r="A21" s="382">
        <f t="shared" si="0"/>
        <v>17</v>
      </c>
      <c r="B21" s="1441" t="s">
        <v>92</v>
      </c>
      <c r="C21" s="1439"/>
      <c r="D21" s="1439"/>
      <c r="E21" s="1439"/>
      <c r="F21" s="1440"/>
      <c r="G21" s="323">
        <f t="shared" si="1"/>
        <v>17</v>
      </c>
      <c r="H21" s="219">
        <v>0</v>
      </c>
      <c r="I21" s="384"/>
    </row>
    <row r="22" spans="1:9" ht="20.100000000000001" customHeight="1" x14ac:dyDescent="0.2">
      <c r="A22" s="382">
        <f t="shared" si="0"/>
        <v>18</v>
      </c>
      <c r="B22" s="1441" t="s">
        <v>97</v>
      </c>
      <c r="C22" s="1439"/>
      <c r="D22" s="1439"/>
      <c r="E22" s="1439"/>
      <c r="F22" s="1440"/>
      <c r="G22" s="323">
        <f t="shared" si="1"/>
        <v>18</v>
      </c>
      <c r="H22" s="219">
        <f>+H20-H21</f>
        <v>0</v>
      </c>
      <c r="I22" s="384"/>
    </row>
    <row r="23" spans="1:9" ht="20.100000000000001" customHeight="1" x14ac:dyDescent="0.2">
      <c r="A23" s="382">
        <f t="shared" si="0"/>
        <v>19</v>
      </c>
      <c r="B23" s="1441" t="s">
        <v>737</v>
      </c>
      <c r="C23" s="1439"/>
      <c r="D23" s="1439"/>
      <c r="E23" s="1439"/>
      <c r="F23" s="1440"/>
      <c r="G23" s="323">
        <f t="shared" si="1"/>
        <v>19</v>
      </c>
      <c r="H23" s="219">
        <f>ROUND(H22*0.5,0)</f>
        <v>0</v>
      </c>
      <c r="I23" s="384"/>
    </row>
    <row r="24" spans="1:9" ht="20.100000000000001" customHeight="1" x14ac:dyDescent="0.2">
      <c r="A24" s="382">
        <f t="shared" si="0"/>
        <v>20</v>
      </c>
      <c r="B24" s="1441" t="s">
        <v>738</v>
      </c>
      <c r="C24" s="1439"/>
      <c r="D24" s="1439"/>
      <c r="E24" s="1439"/>
      <c r="F24" s="1440"/>
      <c r="G24" s="323">
        <f t="shared" si="1"/>
        <v>20</v>
      </c>
      <c r="H24" s="219">
        <f>IF(H23&lt;H17, H23,H17)</f>
        <v>0</v>
      </c>
      <c r="I24" s="384"/>
    </row>
    <row r="25" spans="1:9" ht="20.100000000000001" customHeight="1" x14ac:dyDescent="0.2">
      <c r="A25" s="382">
        <f t="shared" si="0"/>
        <v>21</v>
      </c>
      <c r="B25" s="1441" t="s">
        <v>742</v>
      </c>
      <c r="C25" s="1439"/>
      <c r="D25" s="1439"/>
      <c r="E25" s="1439"/>
      <c r="F25" s="1440"/>
      <c r="G25" s="323">
        <f t="shared" si="1"/>
        <v>21</v>
      </c>
      <c r="H25" s="419"/>
      <c r="I25" s="384"/>
    </row>
    <row r="26" spans="1:9" ht="20.100000000000001" customHeight="1" x14ac:dyDescent="0.2">
      <c r="A26" s="382">
        <f t="shared" si="0"/>
        <v>22</v>
      </c>
      <c r="B26" s="1441" t="s">
        <v>743</v>
      </c>
      <c r="C26" s="1439"/>
      <c r="D26" s="1439"/>
      <c r="E26" s="1439"/>
      <c r="F26" s="1440"/>
      <c r="G26" s="323">
        <f t="shared" si="1"/>
        <v>22</v>
      </c>
      <c r="H26" s="419"/>
      <c r="I26" s="384"/>
    </row>
    <row r="27" spans="1:9" ht="20.100000000000001" customHeight="1" x14ac:dyDescent="0.2">
      <c r="A27" s="382">
        <f t="shared" si="0"/>
        <v>23</v>
      </c>
      <c r="B27" s="1507" t="s">
        <v>744</v>
      </c>
      <c r="C27" s="1508"/>
      <c r="D27" s="1508"/>
      <c r="E27" s="1508"/>
      <c r="F27" s="1414"/>
      <c r="G27" s="323">
        <f t="shared" si="1"/>
        <v>23</v>
      </c>
      <c r="H27" s="219">
        <f>SUM(H24:H26)</f>
        <v>0</v>
      </c>
      <c r="I27" s="384"/>
    </row>
    <row r="28" spans="1:9" ht="13.5" thickBot="1" x14ac:dyDescent="0.25">
      <c r="D28" s="16"/>
      <c r="E28" s="16"/>
      <c r="F28" s="299"/>
      <c r="G28" s="381"/>
      <c r="H28" s="424"/>
      <c r="I28" s="222"/>
    </row>
    <row r="29" spans="1:9" ht="18.75" thickBot="1" x14ac:dyDescent="0.3">
      <c r="A29" s="1454" t="s">
        <v>747</v>
      </c>
      <c r="B29" s="1454"/>
      <c r="C29" s="1454"/>
      <c r="D29" s="1454"/>
      <c r="E29" s="1454"/>
      <c r="F29" s="1454"/>
      <c r="G29" s="1454"/>
      <c r="H29" s="1454"/>
      <c r="I29" s="1454"/>
    </row>
    <row r="30" spans="1:9" x14ac:dyDescent="0.2">
      <c r="A30" s="425">
        <v>24</v>
      </c>
      <c r="B30" s="1455" t="s">
        <v>745</v>
      </c>
      <c r="C30" s="1456"/>
      <c r="D30" s="1456"/>
      <c r="E30" s="1456"/>
      <c r="F30" s="1513"/>
      <c r="G30" s="323">
        <f>+A30</f>
        <v>24</v>
      </c>
      <c r="H30" s="428">
        <f>+'Fed Carryovers'!H21</f>
        <v>0</v>
      </c>
      <c r="I30" s="415"/>
    </row>
    <row r="31" spans="1:9" x14ac:dyDescent="0.2">
      <c r="A31" s="425">
        <f t="shared" ref="A31:A40" si="2">+A30+1</f>
        <v>25</v>
      </c>
      <c r="B31" s="1496" t="s">
        <v>1448</v>
      </c>
      <c r="C31" s="1371"/>
      <c r="D31" s="383">
        <f>+A31</f>
        <v>25</v>
      </c>
      <c r="E31" s="419"/>
      <c r="F31" s="420"/>
      <c r="G31" s="418"/>
      <c r="H31" s="24"/>
      <c r="I31" s="24"/>
    </row>
    <row r="32" spans="1:9" x14ac:dyDescent="0.2">
      <c r="A32" s="425">
        <f t="shared" si="2"/>
        <v>26</v>
      </c>
      <c r="B32" s="1496" t="s">
        <v>1449</v>
      </c>
      <c r="C32" s="1371"/>
      <c r="D32" s="383">
        <f>+A32</f>
        <v>26</v>
      </c>
      <c r="E32" s="419"/>
      <c r="F32" s="420"/>
      <c r="G32" s="418"/>
      <c r="H32" s="24"/>
      <c r="I32" s="24"/>
    </row>
    <row r="33" spans="1:9" x14ac:dyDescent="0.2">
      <c r="A33" s="425">
        <f t="shared" si="2"/>
        <v>27</v>
      </c>
      <c r="B33" s="1511" t="s">
        <v>1450</v>
      </c>
      <c r="C33" s="1329"/>
      <c r="D33" s="1329"/>
      <c r="E33" s="1329"/>
      <c r="F33" s="1512"/>
      <c r="G33" s="677">
        <f>+A33</f>
        <v>27</v>
      </c>
      <c r="H33" s="681">
        <f>+ABS(E31)+ABS(E32)</f>
        <v>0</v>
      </c>
      <c r="I33" s="415"/>
    </row>
    <row r="34" spans="1:9" x14ac:dyDescent="0.2">
      <c r="A34" s="425">
        <f t="shared" si="2"/>
        <v>28</v>
      </c>
      <c r="B34" s="1511" t="s">
        <v>1451</v>
      </c>
      <c r="C34" s="1329"/>
      <c r="D34" s="1329"/>
      <c r="E34" s="1329"/>
      <c r="F34" s="1512"/>
      <c r="G34" s="383">
        <f>+A34</f>
        <v>28</v>
      </c>
      <c r="H34" s="676">
        <f>+H30-H33</f>
        <v>0</v>
      </c>
      <c r="I34" s="24"/>
    </row>
    <row r="35" spans="1:9" x14ac:dyDescent="0.2">
      <c r="A35" s="425">
        <f t="shared" si="2"/>
        <v>29</v>
      </c>
      <c r="B35" s="1472" t="s">
        <v>1452</v>
      </c>
      <c r="C35" s="1473"/>
      <c r="D35" s="383">
        <f>+A35</f>
        <v>29</v>
      </c>
      <c r="E35" s="429">
        <f>+'Fed Carryovers'!H25</f>
        <v>0</v>
      </c>
      <c r="F35" s="420"/>
      <c r="G35" s="418"/>
      <c r="H35" s="424"/>
      <c r="I35" s="426"/>
    </row>
    <row r="36" spans="1:9" x14ac:dyDescent="0.2">
      <c r="A36" s="425">
        <f t="shared" si="2"/>
        <v>30</v>
      </c>
      <c r="B36" s="1470" t="s">
        <v>1457</v>
      </c>
      <c r="C36" s="1471"/>
      <c r="D36" s="383">
        <f>+A36</f>
        <v>30</v>
      </c>
      <c r="E36" s="429">
        <f>+'Fed Carryovers'!H29-'Fed Carryovers'!H27</f>
        <v>0</v>
      </c>
      <c r="F36" s="420"/>
      <c r="G36" s="418"/>
      <c r="H36" s="268"/>
      <c r="I36" s="24"/>
    </row>
    <row r="37" spans="1:9" x14ac:dyDescent="0.2">
      <c r="A37" s="416">
        <f t="shared" si="2"/>
        <v>31</v>
      </c>
      <c r="B37" s="1470" t="s">
        <v>1454</v>
      </c>
      <c r="C37" s="1471"/>
      <c r="D37" s="383">
        <f>+A37</f>
        <v>31</v>
      </c>
      <c r="E37" s="429">
        <f>IF(Data!F9=TRUE,0,Data!C159)</f>
        <v>0</v>
      </c>
      <c r="F37" s="420"/>
      <c r="G37" s="418"/>
      <c r="H37" s="268"/>
      <c r="I37" s="24"/>
    </row>
    <row r="38" spans="1:9" x14ac:dyDescent="0.2">
      <c r="A38" s="416">
        <f t="shared" si="2"/>
        <v>32</v>
      </c>
      <c r="B38" s="1470" t="s">
        <v>1455</v>
      </c>
      <c r="C38" s="1471"/>
      <c r="D38" s="383">
        <f>+A38</f>
        <v>32</v>
      </c>
      <c r="E38" s="429">
        <f>IF(Data!F9=TRUE,0,Data!C148)</f>
        <v>0</v>
      </c>
      <c r="F38" s="420"/>
      <c r="G38" s="418"/>
      <c r="H38" s="268"/>
      <c r="I38" s="24"/>
    </row>
    <row r="39" spans="1:9" ht="13.5" thickBot="1" x14ac:dyDescent="0.25">
      <c r="A39" s="382">
        <f t="shared" si="2"/>
        <v>33</v>
      </c>
      <c r="B39" s="1455" t="str">
        <f>CONCATENATE("Combine lines ",A35," through ",A38)</f>
        <v>Combine lines 29 through 32</v>
      </c>
      <c r="C39" s="1456"/>
      <c r="D39" s="1456"/>
      <c r="E39" s="1456"/>
      <c r="F39" s="1513"/>
      <c r="G39" s="432">
        <f>+A39</f>
        <v>33</v>
      </c>
      <c r="H39" s="433">
        <f>SUM(E35:E38)</f>
        <v>0</v>
      </c>
      <c r="I39" s="434"/>
    </row>
    <row r="40" spans="1:9" x14ac:dyDescent="0.2">
      <c r="A40" s="382">
        <f t="shared" si="2"/>
        <v>34</v>
      </c>
      <c r="B40" s="1455" t="s">
        <v>746</v>
      </c>
      <c r="C40" s="1456"/>
      <c r="D40" s="1456"/>
      <c r="E40" s="1456"/>
      <c r="F40" s="1513"/>
      <c r="G40" s="323">
        <f>+A40</f>
        <v>34</v>
      </c>
      <c r="H40" s="427">
        <f>+H34+H39</f>
        <v>0</v>
      </c>
      <c r="I40" s="415"/>
    </row>
    <row r="41" spans="1:9" s="10" customFormat="1" ht="11.25" x14ac:dyDescent="0.2">
      <c r="A41" s="431" t="s">
        <v>409</v>
      </c>
    </row>
  </sheetData>
  <sheetProtection algorithmName="SHA-512" hashValue="D+vqhbIwQMkbAn8tLcgt8gcDg3RskKVZW8Tw6LQbBpMZkbYMqlRjJANO+lUbAyJdJ5/yggMWnUAtYd7l/VJXVA==" saltValue="GAIg2zHFCUColozX743tvg==" spinCount="100000" sheet="1" objects="1" scenarios="1"/>
  <mergeCells count="42">
    <mergeCell ref="B34:F34"/>
    <mergeCell ref="A29:I29"/>
    <mergeCell ref="B30:F30"/>
    <mergeCell ref="B39:F39"/>
    <mergeCell ref="B40:F40"/>
    <mergeCell ref="B38:C38"/>
    <mergeCell ref="B36:C36"/>
    <mergeCell ref="B35:C35"/>
    <mergeCell ref="B37:C37"/>
    <mergeCell ref="B33:F33"/>
    <mergeCell ref="B31:C31"/>
    <mergeCell ref="B32:C32"/>
    <mergeCell ref="B18:C18"/>
    <mergeCell ref="D18:F18"/>
    <mergeCell ref="B24:F24"/>
    <mergeCell ref="B15:F15"/>
    <mergeCell ref="B16:F16"/>
    <mergeCell ref="B21:F21"/>
    <mergeCell ref="B22:F22"/>
    <mergeCell ref="B23:F23"/>
    <mergeCell ref="B17:F17"/>
    <mergeCell ref="B25:F25"/>
    <mergeCell ref="B26:F26"/>
    <mergeCell ref="B27:F27"/>
    <mergeCell ref="B19:F19"/>
    <mergeCell ref="B20:F20"/>
    <mergeCell ref="B14:F14"/>
    <mergeCell ref="A2:B2"/>
    <mergeCell ref="H1:I1"/>
    <mergeCell ref="C1:G1"/>
    <mergeCell ref="C2:G2"/>
    <mergeCell ref="B4:E4"/>
    <mergeCell ref="H4:I4"/>
    <mergeCell ref="H2:I2"/>
    <mergeCell ref="B6:C6"/>
    <mergeCell ref="B11:F11"/>
    <mergeCell ref="B9:F9"/>
    <mergeCell ref="B10:F10"/>
    <mergeCell ref="B5:C5"/>
    <mergeCell ref="D5:F5"/>
    <mergeCell ref="B12:F12"/>
    <mergeCell ref="B13:F13"/>
  </mergeCells>
  <phoneticPr fontId="2" type="noConversion"/>
  <conditionalFormatting sqref="D5:F5 D18:F18">
    <cfRule type="expression" dxfId="32" priority="1" stopIfTrue="1">
      <formula>D5&lt;&gt;""</formula>
    </cfRule>
  </conditionalFormatting>
  <pageMargins left="0.4" right="0.4" top="0.5" bottom="0.5" header="0.5" footer="0.5"/>
  <pageSetup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pageSetUpPr fitToPage="1"/>
  </sheetPr>
  <dimension ref="A1:AA358"/>
  <sheetViews>
    <sheetView showGridLines="0" workbookViewId="0">
      <selection activeCell="A2" sqref="A2"/>
    </sheetView>
  </sheetViews>
  <sheetFormatPr defaultRowHeight="12.75" x14ac:dyDescent="0.2"/>
  <cols>
    <col min="1" max="1" width="5.42578125" style="27" bestFit="1" customWidth="1"/>
    <col min="3" max="3" width="24.140625" customWidth="1"/>
    <col min="4" max="5" width="9.7109375" hidden="1" customWidth="1"/>
    <col min="6" max="6" width="8.28515625" hidden="1" customWidth="1"/>
    <col min="7" max="11" width="6.28515625" hidden="1" customWidth="1"/>
    <col min="12" max="12" width="7.28515625" hidden="1" customWidth="1"/>
    <col min="13" max="13" width="6.28515625" hidden="1" customWidth="1"/>
    <col min="14" max="21" width="7" hidden="1" customWidth="1"/>
    <col min="22" max="22" width="6.85546875" customWidth="1"/>
    <col min="24" max="24" width="15.7109375" customWidth="1"/>
    <col min="25" max="25" width="12.7109375" customWidth="1"/>
    <col min="26" max="26" width="10.42578125" bestFit="1" customWidth="1"/>
  </cols>
  <sheetData>
    <row r="1" spans="1:27" x14ac:dyDescent="0.2">
      <c r="C1" s="166" t="s">
        <v>350</v>
      </c>
      <c r="D1" s="167">
        <f>IF(References!C2&lt;2004,2004,References!C2)</f>
        <v>2018</v>
      </c>
      <c r="E1" s="670"/>
    </row>
    <row r="2" spans="1:27" ht="40.5" customHeight="1" x14ac:dyDescent="0.2">
      <c r="A2" s="385" t="s">
        <v>164</v>
      </c>
      <c r="B2" s="386" t="s">
        <v>165</v>
      </c>
      <c r="C2" s="385" t="s">
        <v>166</v>
      </c>
      <c r="D2" s="386" t="s">
        <v>561</v>
      </c>
      <c r="E2" s="386" t="s">
        <v>987</v>
      </c>
      <c r="F2" s="386">
        <v>2004</v>
      </c>
      <c r="G2" s="386">
        <v>2005</v>
      </c>
      <c r="H2" s="386">
        <v>2006</v>
      </c>
      <c r="I2" s="386">
        <v>2007</v>
      </c>
      <c r="J2" s="386">
        <v>2008</v>
      </c>
      <c r="K2" s="386">
        <v>2009</v>
      </c>
      <c r="L2" s="386">
        <v>2010</v>
      </c>
      <c r="M2" s="386">
        <v>2011</v>
      </c>
      <c r="N2" s="386">
        <v>2012</v>
      </c>
      <c r="O2" s="386">
        <v>2013</v>
      </c>
      <c r="P2" s="386">
        <v>2014</v>
      </c>
      <c r="Q2" s="386">
        <v>2015</v>
      </c>
      <c r="R2" s="386">
        <v>2016</v>
      </c>
      <c r="S2" s="386">
        <v>2017</v>
      </c>
      <c r="T2" s="386">
        <v>2018</v>
      </c>
      <c r="U2" s="386">
        <v>2019</v>
      </c>
      <c r="V2" s="386" t="s">
        <v>167</v>
      </c>
      <c r="W2" s="386" t="s">
        <v>168</v>
      </c>
      <c r="X2" s="386" t="s">
        <v>1319</v>
      </c>
      <c r="Y2" s="386" t="s">
        <v>809</v>
      </c>
      <c r="Z2" s="385" t="s">
        <v>810</v>
      </c>
      <c r="AA2" s="386" t="s">
        <v>1767</v>
      </c>
    </row>
    <row r="3" spans="1:27" ht="0.75" customHeight="1" x14ac:dyDescent="0.2">
      <c r="A3" s="387">
        <v>1</v>
      </c>
      <c r="B3" s="388">
        <v>0</v>
      </c>
      <c r="C3" s="389"/>
      <c r="D3" s="387"/>
      <c r="E3" s="387"/>
      <c r="F3" s="387"/>
      <c r="G3" s="390"/>
      <c r="H3" s="390"/>
      <c r="I3" s="390"/>
      <c r="J3" s="390"/>
      <c r="K3" s="390"/>
      <c r="L3" s="390"/>
      <c r="M3" s="390"/>
      <c r="N3" s="390"/>
      <c r="O3" s="390"/>
      <c r="P3" s="390"/>
      <c r="Q3" s="390"/>
      <c r="R3" s="390"/>
      <c r="S3" s="390"/>
      <c r="T3" s="390"/>
      <c r="U3" s="390"/>
      <c r="V3" s="390"/>
      <c r="W3" s="390"/>
      <c r="X3" s="390"/>
      <c r="Y3" s="390"/>
      <c r="AA3" s="387"/>
    </row>
    <row r="4" spans="1:27" x14ac:dyDescent="0.2">
      <c r="A4" s="755">
        <f>+A3+1</f>
        <v>2</v>
      </c>
      <c r="B4" s="388">
        <v>23</v>
      </c>
      <c r="C4" s="737" t="s">
        <v>1600</v>
      </c>
      <c r="D4" s="392">
        <f t="shared" ref="D4:D67" si="0">HLOOKUP(D$1,F$2:U$405,(A4+1),FALSE)</f>
        <v>0.01</v>
      </c>
      <c r="E4" s="392">
        <f t="shared" ref="E4:E67" si="1">HLOOKUP(D$1+1,F$2:U$405,(A4+1),FALSE)</f>
        <v>0.01</v>
      </c>
      <c r="F4" s="392">
        <v>0</v>
      </c>
      <c r="G4" s="392">
        <v>0.01</v>
      </c>
      <c r="H4" s="392">
        <v>0.01</v>
      </c>
      <c r="I4" s="392">
        <v>0.01</v>
      </c>
      <c r="J4" s="392">
        <v>0.01</v>
      </c>
      <c r="K4" s="392">
        <v>0.01</v>
      </c>
      <c r="L4" s="392">
        <v>0.01</v>
      </c>
      <c r="M4" s="392">
        <v>0.01</v>
      </c>
      <c r="N4" s="392">
        <v>0.01</v>
      </c>
      <c r="O4" s="392">
        <v>0.01</v>
      </c>
      <c r="P4" s="392">
        <v>0.01</v>
      </c>
      <c r="Q4" s="392">
        <v>0.01</v>
      </c>
      <c r="R4" s="392">
        <v>0.01</v>
      </c>
      <c r="S4" s="392">
        <v>0.01</v>
      </c>
      <c r="T4" s="392">
        <v>0.01</v>
      </c>
      <c r="U4" s="392">
        <v>0.01</v>
      </c>
      <c r="V4" s="511">
        <v>3</v>
      </c>
      <c r="W4" s="511" t="s">
        <v>812</v>
      </c>
      <c r="X4" s="390"/>
      <c r="Y4" s="390"/>
      <c r="Z4" s="387"/>
      <c r="AA4" s="387">
        <f>_xlfn.IFNA(MATCH(0,F4:U4,1),-23) + F$2 -1</f>
        <v>2004</v>
      </c>
    </row>
    <row r="5" spans="1:27" x14ac:dyDescent="0.2">
      <c r="A5" s="391">
        <f>+A4+1</f>
        <v>3</v>
      </c>
      <c r="B5" s="388">
        <v>18</v>
      </c>
      <c r="C5" s="393" t="s">
        <v>72</v>
      </c>
      <c r="D5" s="392">
        <f t="shared" si="0"/>
        <v>1.4999999999999999E-2</v>
      </c>
      <c r="E5" s="392">
        <f t="shared" si="1"/>
        <v>1.4999999999999999E-2</v>
      </c>
      <c r="F5" s="392">
        <v>0.01</v>
      </c>
      <c r="G5" s="392">
        <v>0.01</v>
      </c>
      <c r="H5" s="392">
        <v>0.01</v>
      </c>
      <c r="I5" s="399">
        <v>0.01</v>
      </c>
      <c r="J5" s="691">
        <v>0.01</v>
      </c>
      <c r="K5" s="691">
        <v>0.01</v>
      </c>
      <c r="L5" s="691">
        <v>0.01</v>
      </c>
      <c r="M5" s="691">
        <v>0.01</v>
      </c>
      <c r="N5" s="691">
        <v>0.01</v>
      </c>
      <c r="O5" s="691">
        <v>1.4999999999999999E-2</v>
      </c>
      <c r="P5" s="691">
        <v>1.4999999999999999E-2</v>
      </c>
      <c r="Q5" s="691">
        <v>1.4999999999999999E-2</v>
      </c>
      <c r="R5" s="691">
        <v>1.4999999999999999E-2</v>
      </c>
      <c r="S5" s="691">
        <v>1.4999999999999999E-2</v>
      </c>
      <c r="T5" s="691">
        <v>1.4999999999999999E-2</v>
      </c>
      <c r="U5" s="691">
        <v>1.4999999999999999E-2</v>
      </c>
      <c r="V5" s="511">
        <v>5</v>
      </c>
      <c r="W5" s="511" t="s">
        <v>812</v>
      </c>
      <c r="X5" s="390"/>
      <c r="Y5" s="390"/>
      <c r="Z5" s="387"/>
      <c r="AA5" s="387">
        <f>_xlfn.IFNA(MATCH(0,F5:U5,1),-23) + F$2 -1</f>
        <v>1980</v>
      </c>
    </row>
    <row r="6" spans="1:27" x14ac:dyDescent="0.2">
      <c r="A6" s="391">
        <f t="shared" ref="A6:A99" si="2">+A5+1</f>
        <v>4</v>
      </c>
      <c r="B6" s="388">
        <v>22</v>
      </c>
      <c r="C6" s="393" t="s">
        <v>1363</v>
      </c>
      <c r="D6" s="392">
        <f t="shared" si="0"/>
        <v>0.01</v>
      </c>
      <c r="E6" s="392">
        <f t="shared" si="1"/>
        <v>0.01</v>
      </c>
      <c r="F6" s="507">
        <v>0</v>
      </c>
      <c r="G6" s="507">
        <v>0</v>
      </c>
      <c r="H6" s="507">
        <v>0</v>
      </c>
      <c r="I6" s="510">
        <v>0</v>
      </c>
      <c r="J6" s="510">
        <v>0</v>
      </c>
      <c r="K6" s="510">
        <v>0</v>
      </c>
      <c r="L6" s="691">
        <v>0.01</v>
      </c>
      <c r="M6" s="691">
        <v>0.01</v>
      </c>
      <c r="N6" s="691">
        <v>0.01</v>
      </c>
      <c r="O6" s="691">
        <v>0.01</v>
      </c>
      <c r="P6" s="691">
        <v>0.01</v>
      </c>
      <c r="Q6" s="691">
        <v>0.01</v>
      </c>
      <c r="R6" s="691">
        <v>0.01</v>
      </c>
      <c r="S6" s="691">
        <v>0.01</v>
      </c>
      <c r="T6" s="691">
        <v>0.01</v>
      </c>
      <c r="U6" s="691">
        <v>0.01</v>
      </c>
      <c r="V6" s="511">
        <v>5</v>
      </c>
      <c r="W6" s="390" t="s">
        <v>812</v>
      </c>
      <c r="X6" s="390"/>
      <c r="Y6" s="390"/>
      <c r="Z6" s="387"/>
      <c r="AA6" s="387">
        <f t="shared" ref="AA6:AA71" si="3">_xlfn.IFNA(MATCH(0,F6:U6,1),-23) + F$2 -1</f>
        <v>2009</v>
      </c>
    </row>
    <row r="7" spans="1:27" x14ac:dyDescent="0.2">
      <c r="A7" s="391">
        <f t="shared" si="2"/>
        <v>5</v>
      </c>
      <c r="B7" s="388">
        <v>44</v>
      </c>
      <c r="C7" s="393" t="s">
        <v>1496</v>
      </c>
      <c r="D7" s="392">
        <f t="shared" si="0"/>
        <v>0.01</v>
      </c>
      <c r="E7" s="392">
        <f t="shared" si="1"/>
        <v>0.01</v>
      </c>
      <c r="F7" s="507">
        <v>0</v>
      </c>
      <c r="G7" s="507">
        <v>0</v>
      </c>
      <c r="H7" s="507">
        <v>0</v>
      </c>
      <c r="I7" s="510">
        <v>0</v>
      </c>
      <c r="J7" s="510">
        <v>0</v>
      </c>
      <c r="K7" s="510">
        <v>0</v>
      </c>
      <c r="L7" s="691">
        <v>0</v>
      </c>
      <c r="M7" s="691">
        <v>0</v>
      </c>
      <c r="N7" s="691">
        <v>0</v>
      </c>
      <c r="O7" s="691">
        <v>0</v>
      </c>
      <c r="P7" s="691">
        <v>0</v>
      </c>
      <c r="Q7" s="691">
        <v>3.3E-3</v>
      </c>
      <c r="R7" s="691">
        <v>0.01</v>
      </c>
      <c r="S7" s="691">
        <v>0.01</v>
      </c>
      <c r="T7" s="691">
        <v>0.01</v>
      </c>
      <c r="U7" s="691">
        <v>0.01</v>
      </c>
      <c r="V7" s="511">
        <v>5</v>
      </c>
      <c r="W7" s="390" t="s">
        <v>812</v>
      </c>
      <c r="X7" s="620" t="s">
        <v>1489</v>
      </c>
      <c r="Y7" s="390"/>
      <c r="Z7" s="387"/>
      <c r="AA7" s="387">
        <f t="shared" si="3"/>
        <v>2014</v>
      </c>
    </row>
    <row r="8" spans="1:27" s="773" customFormat="1" x14ac:dyDescent="0.2">
      <c r="A8" s="764">
        <f t="shared" si="2"/>
        <v>6</v>
      </c>
      <c r="B8" s="765">
        <v>42</v>
      </c>
      <c r="C8" s="766" t="s">
        <v>1653</v>
      </c>
      <c r="D8" s="767">
        <f t="shared" si="0"/>
        <v>5.0000000000000001E-3</v>
      </c>
      <c r="E8" s="767">
        <f t="shared" si="1"/>
        <v>0.01</v>
      </c>
      <c r="F8" s="768">
        <v>0</v>
      </c>
      <c r="G8" s="768">
        <v>0</v>
      </c>
      <c r="H8" s="768">
        <v>0</v>
      </c>
      <c r="I8" s="768">
        <v>0</v>
      </c>
      <c r="J8" s="768">
        <v>0</v>
      </c>
      <c r="K8" s="768">
        <v>0</v>
      </c>
      <c r="L8" s="769">
        <v>0</v>
      </c>
      <c r="M8" s="769">
        <v>0</v>
      </c>
      <c r="N8" s="769">
        <v>0</v>
      </c>
      <c r="O8" s="769">
        <v>0</v>
      </c>
      <c r="P8" s="769">
        <v>0</v>
      </c>
      <c r="Q8" s="769">
        <v>0</v>
      </c>
      <c r="R8" s="769">
        <v>0</v>
      </c>
      <c r="S8" s="769">
        <v>0</v>
      </c>
      <c r="T8" s="769">
        <v>5.0000000000000001E-3</v>
      </c>
      <c r="U8" s="769">
        <v>0.01</v>
      </c>
      <c r="V8" s="770">
        <v>5</v>
      </c>
      <c r="W8" s="770" t="s">
        <v>812</v>
      </c>
      <c r="X8" s="771" t="s">
        <v>1654</v>
      </c>
      <c r="Y8" s="770"/>
      <c r="Z8" s="772"/>
      <c r="AA8" s="772">
        <f t="shared" si="3"/>
        <v>2017</v>
      </c>
    </row>
    <row r="9" spans="1:27" x14ac:dyDescent="0.2">
      <c r="A9" s="391">
        <f t="shared" si="2"/>
        <v>7</v>
      </c>
      <c r="B9" s="388">
        <v>39</v>
      </c>
      <c r="C9" s="393" t="s">
        <v>1440</v>
      </c>
      <c r="D9" s="392">
        <f t="shared" si="0"/>
        <v>0.01</v>
      </c>
      <c r="E9" s="392">
        <f t="shared" si="1"/>
        <v>0.01</v>
      </c>
      <c r="F9" s="510">
        <v>0</v>
      </c>
      <c r="G9" s="510">
        <v>0</v>
      </c>
      <c r="H9" s="510">
        <v>0</v>
      </c>
      <c r="I9" s="510">
        <v>0</v>
      </c>
      <c r="J9" s="510">
        <v>0</v>
      </c>
      <c r="K9" s="510">
        <v>0</v>
      </c>
      <c r="L9" s="691">
        <v>0</v>
      </c>
      <c r="M9" s="691">
        <v>0</v>
      </c>
      <c r="N9" s="691">
        <v>0</v>
      </c>
      <c r="O9" s="691">
        <v>0</v>
      </c>
      <c r="P9" s="691">
        <v>5.0000000000000001E-3</v>
      </c>
      <c r="Q9" s="691">
        <v>0.01</v>
      </c>
      <c r="R9" s="691">
        <v>0.01</v>
      </c>
      <c r="S9" s="691">
        <v>0.01</v>
      </c>
      <c r="T9" s="691">
        <v>0.01</v>
      </c>
      <c r="U9" s="691">
        <v>0.01</v>
      </c>
      <c r="V9" s="511">
        <v>5</v>
      </c>
      <c r="W9" s="390" t="s">
        <v>812</v>
      </c>
      <c r="X9" s="620" t="s">
        <v>1446</v>
      </c>
      <c r="Y9" s="390"/>
      <c r="Z9" s="387"/>
      <c r="AA9" s="387">
        <f t="shared" si="3"/>
        <v>2013</v>
      </c>
    </row>
    <row r="10" spans="1:27" x14ac:dyDescent="0.2">
      <c r="A10" s="391">
        <f>+A9+1</f>
        <v>8</v>
      </c>
      <c r="B10" s="388">
        <v>15</v>
      </c>
      <c r="C10" s="393" t="s">
        <v>1307</v>
      </c>
      <c r="D10" s="392">
        <f t="shared" si="0"/>
        <v>1.4999999999999999E-2</v>
      </c>
      <c r="E10" s="392">
        <f t="shared" si="1"/>
        <v>1.4999999999999999E-2</v>
      </c>
      <c r="F10" s="399">
        <v>1.4999999999999999E-2</v>
      </c>
      <c r="G10" s="399">
        <v>1.4999999999999999E-2</v>
      </c>
      <c r="H10" s="399">
        <v>1.4999999999999999E-2</v>
      </c>
      <c r="I10" s="399">
        <v>1.4999999999999999E-2</v>
      </c>
      <c r="J10" s="691">
        <v>1.4999999999999999E-2</v>
      </c>
      <c r="K10" s="691">
        <v>1.4999999999999999E-2</v>
      </c>
      <c r="L10" s="691">
        <v>1.4999999999999999E-2</v>
      </c>
      <c r="M10" s="691">
        <v>1.4999999999999999E-2</v>
      </c>
      <c r="N10" s="691">
        <v>1.4999999999999999E-2</v>
      </c>
      <c r="O10" s="691">
        <v>1.4999999999999999E-2</v>
      </c>
      <c r="P10" s="691">
        <v>1.4999999999999999E-2</v>
      </c>
      <c r="Q10" s="691">
        <v>1.4999999999999999E-2</v>
      </c>
      <c r="R10" s="691">
        <v>1.4999999999999999E-2</v>
      </c>
      <c r="S10" s="691">
        <v>1.4999999999999999E-2</v>
      </c>
      <c r="T10" s="691">
        <v>1.4999999999999999E-2</v>
      </c>
      <c r="U10" s="691">
        <v>1.4999999999999999E-2</v>
      </c>
      <c r="V10" s="511">
        <v>5</v>
      </c>
      <c r="W10" s="390" t="s">
        <v>812</v>
      </c>
      <c r="X10" s="390"/>
      <c r="Y10" s="390"/>
      <c r="Z10" s="387"/>
      <c r="AA10" s="387">
        <f t="shared" si="3"/>
        <v>1980</v>
      </c>
    </row>
    <row r="11" spans="1:27" x14ac:dyDescent="0.2">
      <c r="A11" s="391">
        <f>+A10+1</f>
        <v>9</v>
      </c>
      <c r="B11" s="388">
        <v>31</v>
      </c>
      <c r="C11" s="393" t="s">
        <v>1364</v>
      </c>
      <c r="D11" s="392">
        <f t="shared" si="0"/>
        <v>0.01</v>
      </c>
      <c r="E11" s="392">
        <f t="shared" si="1"/>
        <v>0.01</v>
      </c>
      <c r="F11" s="510">
        <v>0</v>
      </c>
      <c r="G11" s="510">
        <v>0</v>
      </c>
      <c r="H11" s="510">
        <v>0.01</v>
      </c>
      <c r="I11" s="510">
        <v>0.01</v>
      </c>
      <c r="J11" s="510">
        <v>0.01</v>
      </c>
      <c r="K11" s="510">
        <v>0.01</v>
      </c>
      <c r="L11" s="399">
        <v>0.01</v>
      </c>
      <c r="M11" s="399">
        <v>0.01</v>
      </c>
      <c r="N11" s="399">
        <v>0.01</v>
      </c>
      <c r="O11" s="399">
        <v>0.01</v>
      </c>
      <c r="P11" s="399">
        <v>0.01</v>
      </c>
      <c r="Q11" s="399">
        <v>0.01</v>
      </c>
      <c r="R11" s="399">
        <v>0.01</v>
      </c>
      <c r="S11" s="399">
        <v>0.01</v>
      </c>
      <c r="T11" s="399">
        <v>0.01</v>
      </c>
      <c r="U11" s="399">
        <v>0.01</v>
      </c>
      <c r="V11" s="511">
        <v>5</v>
      </c>
      <c r="W11" s="390" t="s">
        <v>812</v>
      </c>
      <c r="X11" s="621"/>
      <c r="Y11" s="390"/>
      <c r="Z11" s="387"/>
      <c r="AA11" s="387">
        <f t="shared" si="3"/>
        <v>2005</v>
      </c>
    </row>
    <row r="12" spans="1:27" x14ac:dyDescent="0.2">
      <c r="A12" s="391">
        <f>+A11+1</f>
        <v>10</v>
      </c>
      <c r="B12" s="388">
        <v>13</v>
      </c>
      <c r="C12" s="394" t="s">
        <v>811</v>
      </c>
      <c r="D12" s="392">
        <f t="shared" si="0"/>
        <v>2.1000000000000001E-2</v>
      </c>
      <c r="E12" s="392">
        <f t="shared" si="1"/>
        <v>2.1000000000000001E-2</v>
      </c>
      <c r="F12" s="399">
        <v>2.1000000000000001E-2</v>
      </c>
      <c r="G12" s="399">
        <v>2.1000000000000001E-2</v>
      </c>
      <c r="H12" s="399">
        <v>2.1000000000000001E-2</v>
      </c>
      <c r="I12" s="399">
        <v>2.1000000000000001E-2</v>
      </c>
      <c r="J12" s="399">
        <v>2.1000000000000001E-2</v>
      </c>
      <c r="K12" s="399">
        <v>2.1000000000000001E-2</v>
      </c>
      <c r="L12" s="399">
        <v>2.1000000000000001E-2</v>
      </c>
      <c r="M12" s="399">
        <v>2.1000000000000001E-2</v>
      </c>
      <c r="N12" s="399">
        <v>2.1000000000000001E-2</v>
      </c>
      <c r="O12" s="399">
        <v>2.1000000000000001E-2</v>
      </c>
      <c r="P12" s="399">
        <v>2.1000000000000001E-2</v>
      </c>
      <c r="Q12" s="399">
        <v>2.1000000000000001E-2</v>
      </c>
      <c r="R12" s="399">
        <v>2.1000000000000001E-2</v>
      </c>
      <c r="S12" s="399">
        <v>2.1000000000000001E-2</v>
      </c>
      <c r="T12" s="399">
        <v>2.1000000000000001E-2</v>
      </c>
      <c r="U12" s="399">
        <v>2.1000000000000001E-2</v>
      </c>
      <c r="V12" s="402">
        <v>5</v>
      </c>
      <c r="W12" s="391" t="s">
        <v>812</v>
      </c>
      <c r="X12" s="391"/>
      <c r="Y12" s="395"/>
      <c r="Z12" s="395"/>
      <c r="AA12" s="387">
        <f t="shared" si="3"/>
        <v>1980</v>
      </c>
    </row>
    <row r="13" spans="1:27" s="3" customFormat="1" x14ac:dyDescent="0.2">
      <c r="A13" s="402">
        <f>+A12+1</f>
        <v>11</v>
      </c>
      <c r="B13" s="728">
        <v>41</v>
      </c>
      <c r="C13" s="397" t="s">
        <v>1506</v>
      </c>
      <c r="D13" s="399">
        <f t="shared" si="0"/>
        <v>0.01</v>
      </c>
      <c r="E13" s="392">
        <f t="shared" si="1"/>
        <v>0.01</v>
      </c>
      <c r="F13" s="399">
        <v>0</v>
      </c>
      <c r="G13" s="399">
        <v>0</v>
      </c>
      <c r="H13" s="399">
        <v>0</v>
      </c>
      <c r="I13" s="399">
        <v>0</v>
      </c>
      <c r="J13" s="399">
        <v>0</v>
      </c>
      <c r="K13" s="399">
        <v>0</v>
      </c>
      <c r="L13" s="399">
        <v>0</v>
      </c>
      <c r="M13" s="399">
        <v>0</v>
      </c>
      <c r="N13" s="399">
        <v>0</v>
      </c>
      <c r="O13" s="399">
        <v>0</v>
      </c>
      <c r="P13" s="399">
        <v>0</v>
      </c>
      <c r="Q13" s="399">
        <v>0</v>
      </c>
      <c r="R13" s="399">
        <v>0.01</v>
      </c>
      <c r="S13" s="399">
        <v>0.01</v>
      </c>
      <c r="T13" s="399">
        <v>0.01</v>
      </c>
      <c r="U13" s="399">
        <v>0.01</v>
      </c>
      <c r="V13" s="402">
        <v>5</v>
      </c>
      <c r="W13" s="402" t="s">
        <v>812</v>
      </c>
      <c r="X13" s="402"/>
      <c r="Y13" s="726"/>
      <c r="Z13" s="726"/>
      <c r="AA13" s="387">
        <f t="shared" si="3"/>
        <v>2015</v>
      </c>
    </row>
    <row r="14" spans="1:27" x14ac:dyDescent="0.2">
      <c r="A14" s="391">
        <f>+A13+1</f>
        <v>12</v>
      </c>
      <c r="B14" s="396">
        <v>6</v>
      </c>
      <c r="C14" s="394" t="s">
        <v>813</v>
      </c>
      <c r="D14" s="392">
        <f t="shared" si="0"/>
        <v>0.01</v>
      </c>
      <c r="E14" s="392">
        <f t="shared" si="1"/>
        <v>0.01</v>
      </c>
      <c r="F14" s="399">
        <v>5.0000000000000001E-3</v>
      </c>
      <c r="G14" s="399">
        <v>5.0000000000000001E-3</v>
      </c>
      <c r="H14" s="399">
        <v>5.0000000000000001E-3</v>
      </c>
      <c r="I14" s="399">
        <v>5.0000000000000001E-3</v>
      </c>
      <c r="J14" s="399">
        <v>0.01</v>
      </c>
      <c r="K14" s="399">
        <v>0.01</v>
      </c>
      <c r="L14" s="399">
        <v>0.01</v>
      </c>
      <c r="M14" s="399">
        <v>0.01</v>
      </c>
      <c r="N14" s="399">
        <v>0.01</v>
      </c>
      <c r="O14" s="399">
        <v>0.01</v>
      </c>
      <c r="P14" s="399">
        <v>0.01</v>
      </c>
      <c r="Q14" s="399">
        <v>0.01</v>
      </c>
      <c r="R14" s="399">
        <v>0.01</v>
      </c>
      <c r="S14" s="399">
        <v>0.01</v>
      </c>
      <c r="T14" s="399">
        <v>0.01</v>
      </c>
      <c r="U14" s="399">
        <v>0.01</v>
      </c>
      <c r="V14" s="402">
        <v>5</v>
      </c>
      <c r="W14" s="391" t="s">
        <v>812</v>
      </c>
      <c r="X14" s="391"/>
      <c r="Y14" s="395"/>
      <c r="Z14" s="395"/>
      <c r="AA14" s="387">
        <f t="shared" si="3"/>
        <v>1980</v>
      </c>
    </row>
    <row r="15" spans="1:27" ht="12.75" customHeight="1" x14ac:dyDescent="0.2">
      <c r="A15" s="391">
        <f t="shared" si="2"/>
        <v>13</v>
      </c>
      <c r="B15" s="396">
        <v>10</v>
      </c>
      <c r="C15" s="394" t="s">
        <v>814</v>
      </c>
      <c r="D15" s="392">
        <f t="shared" si="0"/>
        <v>0.02</v>
      </c>
      <c r="E15" s="392">
        <f t="shared" si="1"/>
        <v>0.02</v>
      </c>
      <c r="F15" s="399">
        <v>0.02</v>
      </c>
      <c r="G15" s="399">
        <v>0.02</v>
      </c>
      <c r="H15" s="399">
        <v>0.02</v>
      </c>
      <c r="I15" s="399">
        <v>0.02</v>
      </c>
      <c r="J15" s="399">
        <v>0.02</v>
      </c>
      <c r="K15" s="399">
        <v>0.02</v>
      </c>
      <c r="L15" s="399">
        <v>0.02</v>
      </c>
      <c r="M15" s="399">
        <v>0.02</v>
      </c>
      <c r="N15" s="399">
        <v>0.02</v>
      </c>
      <c r="O15" s="399">
        <v>0.02</v>
      </c>
      <c r="P15" s="399">
        <v>0.02</v>
      </c>
      <c r="Q15" s="399">
        <v>0.02</v>
      </c>
      <c r="R15" s="399">
        <v>0.02</v>
      </c>
      <c r="S15" s="399">
        <v>0.02</v>
      </c>
      <c r="T15" s="399">
        <v>0.02</v>
      </c>
      <c r="U15" s="399">
        <v>0.02</v>
      </c>
      <c r="V15" s="402">
        <v>5</v>
      </c>
      <c r="W15" s="391" t="s">
        <v>812</v>
      </c>
      <c r="X15" s="391"/>
      <c r="Y15" s="395"/>
      <c r="Z15" s="395"/>
      <c r="AA15" s="387">
        <f t="shared" si="3"/>
        <v>1980</v>
      </c>
    </row>
    <row r="16" spans="1:27" ht="12.75" customHeight="1" x14ac:dyDescent="0.2">
      <c r="A16" s="391">
        <f t="shared" si="2"/>
        <v>14</v>
      </c>
      <c r="B16" s="396">
        <v>20</v>
      </c>
      <c r="C16" s="394" t="s">
        <v>815</v>
      </c>
      <c r="D16" s="392">
        <f t="shared" si="0"/>
        <v>1.7500000000000002E-2</v>
      </c>
      <c r="E16" s="392">
        <f t="shared" si="1"/>
        <v>1.7500000000000002E-2</v>
      </c>
      <c r="F16" s="399">
        <v>1.4999999999999999E-2</v>
      </c>
      <c r="G16" s="399">
        <v>1.4999999999999999E-2</v>
      </c>
      <c r="H16" s="399">
        <v>1.4999999999999999E-2</v>
      </c>
      <c r="I16" s="399">
        <v>1.4999999999999999E-2</v>
      </c>
      <c r="J16" s="399">
        <v>1.7500000000000002E-2</v>
      </c>
      <c r="K16" s="399">
        <v>1.7500000000000002E-2</v>
      </c>
      <c r="L16" s="399">
        <v>1.7500000000000002E-2</v>
      </c>
      <c r="M16" s="399">
        <v>1.7500000000000002E-2</v>
      </c>
      <c r="N16" s="399">
        <v>1.7500000000000002E-2</v>
      </c>
      <c r="O16" s="399">
        <v>1.7500000000000002E-2</v>
      </c>
      <c r="P16" s="399">
        <v>1.7500000000000002E-2</v>
      </c>
      <c r="Q16" s="399">
        <v>1.7500000000000002E-2</v>
      </c>
      <c r="R16" s="399">
        <v>1.7500000000000002E-2</v>
      </c>
      <c r="S16" s="399">
        <v>1.7500000000000002E-2</v>
      </c>
      <c r="T16" s="399">
        <v>1.7500000000000002E-2</v>
      </c>
      <c r="U16" s="399">
        <v>1.7500000000000002E-2</v>
      </c>
      <c r="V16" s="402">
        <v>5</v>
      </c>
      <c r="W16" s="391" t="s">
        <v>812</v>
      </c>
      <c r="X16" s="391"/>
      <c r="Y16" s="395"/>
      <c r="Z16" s="395"/>
      <c r="AA16" s="387">
        <f t="shared" si="3"/>
        <v>1980</v>
      </c>
    </row>
    <row r="17" spans="1:27" ht="12.75" customHeight="1" x14ac:dyDescent="0.2">
      <c r="A17" s="391">
        <f t="shared" si="2"/>
        <v>15</v>
      </c>
      <c r="B17" s="396">
        <v>21</v>
      </c>
      <c r="C17" s="394" t="s">
        <v>816</v>
      </c>
      <c r="D17" s="392">
        <f t="shared" si="0"/>
        <v>1.4999999999999999E-2</v>
      </c>
      <c r="E17" s="392">
        <f t="shared" si="1"/>
        <v>1.4999999999999999E-2</v>
      </c>
      <c r="F17" s="399">
        <v>1.4999999999999999E-2</v>
      </c>
      <c r="G17" s="399">
        <v>1.4999999999999999E-2</v>
      </c>
      <c r="H17" s="399">
        <v>1.4999999999999999E-2</v>
      </c>
      <c r="I17" s="399">
        <v>1.4999999999999999E-2</v>
      </c>
      <c r="J17" s="399">
        <v>1.4999999999999999E-2</v>
      </c>
      <c r="K17" s="399">
        <v>1.4999999999999999E-2</v>
      </c>
      <c r="L17" s="399">
        <v>1.4999999999999999E-2</v>
      </c>
      <c r="M17" s="399">
        <v>1.4999999999999999E-2</v>
      </c>
      <c r="N17" s="399">
        <v>1.4999999999999999E-2</v>
      </c>
      <c r="O17" s="399">
        <v>1.4999999999999999E-2</v>
      </c>
      <c r="P17" s="399">
        <v>1.4999999999999999E-2</v>
      </c>
      <c r="Q17" s="399">
        <v>1.4999999999999999E-2</v>
      </c>
      <c r="R17" s="399">
        <v>1.4999999999999999E-2</v>
      </c>
      <c r="S17" s="399">
        <v>1.4999999999999999E-2</v>
      </c>
      <c r="T17" s="399">
        <v>1.4999999999999999E-2</v>
      </c>
      <c r="U17" s="399">
        <v>1.4999999999999999E-2</v>
      </c>
      <c r="V17" s="402">
        <v>5</v>
      </c>
      <c r="W17" s="391" t="s">
        <v>812</v>
      </c>
      <c r="X17" s="391"/>
      <c r="Y17" s="395"/>
      <c r="Z17" s="395"/>
      <c r="AA17" s="387">
        <f t="shared" si="3"/>
        <v>1980</v>
      </c>
    </row>
    <row r="18" spans="1:27" x14ac:dyDescent="0.2">
      <c r="A18" s="391">
        <f t="shared" si="2"/>
        <v>16</v>
      </c>
      <c r="B18" s="396">
        <v>37</v>
      </c>
      <c r="C18" s="397" t="s">
        <v>1467</v>
      </c>
      <c r="D18" s="392">
        <f t="shared" si="0"/>
        <v>0.02</v>
      </c>
      <c r="E18" s="392">
        <f t="shared" si="1"/>
        <v>0.02</v>
      </c>
      <c r="F18" s="399">
        <v>0</v>
      </c>
      <c r="G18" s="399">
        <v>0</v>
      </c>
      <c r="H18" s="399">
        <v>0</v>
      </c>
      <c r="I18" s="399">
        <v>0.02</v>
      </c>
      <c r="J18" s="399">
        <v>0.02</v>
      </c>
      <c r="K18" s="399">
        <v>0.02</v>
      </c>
      <c r="L18" s="399">
        <v>0.02</v>
      </c>
      <c r="M18" s="399">
        <v>0.02</v>
      </c>
      <c r="N18" s="399">
        <v>0.02</v>
      </c>
      <c r="O18" s="399">
        <v>0.02</v>
      </c>
      <c r="P18" s="399">
        <v>0.02</v>
      </c>
      <c r="Q18" s="399">
        <v>0.02</v>
      </c>
      <c r="R18" s="399">
        <v>0.02</v>
      </c>
      <c r="S18" s="399">
        <v>0.02</v>
      </c>
      <c r="T18" s="399">
        <v>0.02</v>
      </c>
      <c r="U18" s="399">
        <v>0.02</v>
      </c>
      <c r="V18" s="402">
        <v>5</v>
      </c>
      <c r="W18" s="391" t="s">
        <v>812</v>
      </c>
      <c r="X18" s="391"/>
      <c r="Y18" s="395"/>
      <c r="Z18" s="395"/>
      <c r="AA18" s="387">
        <f t="shared" si="3"/>
        <v>2006</v>
      </c>
    </row>
    <row r="19" spans="1:27" x14ac:dyDescent="0.2">
      <c r="A19" s="391">
        <f t="shared" si="2"/>
        <v>17</v>
      </c>
      <c r="B19" s="396">
        <v>33</v>
      </c>
      <c r="C19" s="397" t="s">
        <v>1222</v>
      </c>
      <c r="D19" s="392">
        <f t="shared" si="0"/>
        <v>1.4999999999999999E-2</v>
      </c>
      <c r="E19" s="392">
        <f t="shared" si="1"/>
        <v>1.4999999999999999E-2</v>
      </c>
      <c r="F19" s="399">
        <v>0</v>
      </c>
      <c r="G19" s="399">
        <v>0.01</v>
      </c>
      <c r="H19" s="399">
        <v>0.01</v>
      </c>
      <c r="I19" s="399">
        <v>0.01</v>
      </c>
      <c r="J19" s="399">
        <v>0.01</v>
      </c>
      <c r="K19" s="399">
        <v>0.01</v>
      </c>
      <c r="L19" s="399">
        <v>0.01</v>
      </c>
      <c r="M19" s="399">
        <v>0.01</v>
      </c>
      <c r="N19" s="399">
        <v>0.01</v>
      </c>
      <c r="O19" s="399">
        <v>0.01</v>
      </c>
      <c r="P19" s="399">
        <v>0.01</v>
      </c>
      <c r="Q19" s="399">
        <v>0.01</v>
      </c>
      <c r="R19" s="399">
        <v>1.4999999999999999E-2</v>
      </c>
      <c r="S19" s="399">
        <v>1.4999999999999999E-2</v>
      </c>
      <c r="T19" s="399">
        <v>1.4999999999999999E-2</v>
      </c>
      <c r="U19" s="399">
        <v>1.4999999999999999E-2</v>
      </c>
      <c r="V19" s="402">
        <v>5</v>
      </c>
      <c r="W19" s="402" t="s">
        <v>812</v>
      </c>
      <c r="X19" s="391"/>
      <c r="Y19" s="395"/>
      <c r="Z19" s="395"/>
      <c r="AA19" s="387">
        <f t="shared" si="3"/>
        <v>2004</v>
      </c>
    </row>
    <row r="20" spans="1:27" x14ac:dyDescent="0.2">
      <c r="A20" s="391">
        <f t="shared" si="2"/>
        <v>18</v>
      </c>
      <c r="B20" s="396">
        <v>29</v>
      </c>
      <c r="C20" s="394" t="s">
        <v>950</v>
      </c>
      <c r="D20" s="392">
        <f t="shared" si="0"/>
        <v>0.01</v>
      </c>
      <c r="E20" s="392">
        <f t="shared" si="1"/>
        <v>0.01</v>
      </c>
      <c r="F20" s="399">
        <v>0.01</v>
      </c>
      <c r="G20" s="399">
        <v>0.01</v>
      </c>
      <c r="H20" s="399">
        <v>0.01</v>
      </c>
      <c r="I20" s="399">
        <v>0.01</v>
      </c>
      <c r="J20" s="399">
        <v>0.01</v>
      </c>
      <c r="K20" s="399">
        <v>0.01</v>
      </c>
      <c r="L20" s="399">
        <v>0.01</v>
      </c>
      <c r="M20" s="399">
        <v>0.01</v>
      </c>
      <c r="N20" s="399">
        <v>0.01</v>
      </c>
      <c r="O20" s="399">
        <v>0.01</v>
      </c>
      <c r="P20" s="399">
        <v>0.01</v>
      </c>
      <c r="Q20" s="399">
        <v>0.01</v>
      </c>
      <c r="R20" s="399">
        <v>0.01</v>
      </c>
      <c r="S20" s="399">
        <v>0.01</v>
      </c>
      <c r="T20" s="399">
        <v>0.01</v>
      </c>
      <c r="U20" s="399">
        <v>0.01</v>
      </c>
      <c r="V20" s="402">
        <v>1</v>
      </c>
      <c r="W20" s="391" t="s">
        <v>812</v>
      </c>
      <c r="X20" s="391"/>
      <c r="Y20" s="395"/>
      <c r="Z20" s="395"/>
      <c r="AA20" s="387">
        <f t="shared" si="3"/>
        <v>1980</v>
      </c>
    </row>
    <row r="21" spans="1:27" x14ac:dyDescent="0.2">
      <c r="A21" s="402">
        <f t="shared" si="2"/>
        <v>19</v>
      </c>
      <c r="B21" s="396">
        <v>34</v>
      </c>
      <c r="C21" s="738" t="s">
        <v>1601</v>
      </c>
      <c r="D21" s="392">
        <f t="shared" si="0"/>
        <v>0.01</v>
      </c>
      <c r="E21" s="392">
        <f t="shared" si="1"/>
        <v>0.01</v>
      </c>
      <c r="F21" s="399">
        <v>0</v>
      </c>
      <c r="G21" s="399">
        <v>0.01</v>
      </c>
      <c r="H21" s="399">
        <v>0.01</v>
      </c>
      <c r="I21" s="399">
        <v>0.01</v>
      </c>
      <c r="J21" s="399">
        <v>0.01</v>
      </c>
      <c r="K21" s="399">
        <v>0.01</v>
      </c>
      <c r="L21" s="399">
        <v>0.01</v>
      </c>
      <c r="M21" s="399">
        <v>0.01</v>
      </c>
      <c r="N21" s="399">
        <v>0.01</v>
      </c>
      <c r="O21" s="399">
        <v>0.01</v>
      </c>
      <c r="P21" s="399">
        <v>0.01</v>
      </c>
      <c r="Q21" s="399">
        <v>0.01</v>
      </c>
      <c r="R21" s="399">
        <v>0.01</v>
      </c>
      <c r="S21" s="399">
        <v>0.01</v>
      </c>
      <c r="T21" s="399">
        <v>0.01</v>
      </c>
      <c r="U21" s="399">
        <v>0.01</v>
      </c>
      <c r="V21" s="402">
        <v>5</v>
      </c>
      <c r="W21" s="391" t="s">
        <v>812</v>
      </c>
      <c r="X21" s="391"/>
      <c r="Y21" s="395"/>
      <c r="Z21" s="395"/>
      <c r="AA21" s="387">
        <f t="shared" si="3"/>
        <v>2004</v>
      </c>
    </row>
    <row r="22" spans="1:27" x14ac:dyDescent="0.2">
      <c r="A22" s="402">
        <f t="shared" si="2"/>
        <v>20</v>
      </c>
      <c r="B22" s="396">
        <v>61</v>
      </c>
      <c r="C22" s="738" t="s">
        <v>1602</v>
      </c>
      <c r="D22" s="392">
        <f t="shared" si="0"/>
        <v>0.01</v>
      </c>
      <c r="E22" s="392">
        <f t="shared" si="1"/>
        <v>0.01</v>
      </c>
      <c r="F22" s="399">
        <v>0</v>
      </c>
      <c r="G22" s="399">
        <v>0</v>
      </c>
      <c r="H22" s="399">
        <v>0</v>
      </c>
      <c r="I22" s="399">
        <v>0</v>
      </c>
      <c r="J22" s="399">
        <v>8.0000000000000004E-4</v>
      </c>
      <c r="K22" s="399">
        <v>0.01</v>
      </c>
      <c r="L22" s="399">
        <v>0.01</v>
      </c>
      <c r="M22" s="399">
        <v>0.01</v>
      </c>
      <c r="N22" s="399">
        <v>0.01</v>
      </c>
      <c r="O22" s="399">
        <v>0.01</v>
      </c>
      <c r="P22" s="399">
        <v>0.01</v>
      </c>
      <c r="Q22" s="399">
        <v>0.01</v>
      </c>
      <c r="R22" s="399">
        <v>0.01</v>
      </c>
      <c r="S22" s="399">
        <v>0.01</v>
      </c>
      <c r="T22" s="399">
        <v>0.01</v>
      </c>
      <c r="U22" s="399">
        <v>0.01</v>
      </c>
      <c r="V22" s="402">
        <v>5</v>
      </c>
      <c r="W22" s="391" t="s">
        <v>812</v>
      </c>
      <c r="X22" s="620" t="s">
        <v>1605</v>
      </c>
      <c r="Y22" s="395"/>
      <c r="Z22" s="395"/>
      <c r="AA22" s="387">
        <f t="shared" si="3"/>
        <v>2007</v>
      </c>
    </row>
    <row r="23" spans="1:27" x14ac:dyDescent="0.2">
      <c r="A23" s="402">
        <f t="shared" si="2"/>
        <v>21</v>
      </c>
      <c r="B23" s="396">
        <v>62</v>
      </c>
      <c r="C23" s="738" t="s">
        <v>1603</v>
      </c>
      <c r="D23" s="392">
        <f t="shared" si="0"/>
        <v>0.01</v>
      </c>
      <c r="E23" s="392">
        <f t="shared" si="1"/>
        <v>0.01</v>
      </c>
      <c r="F23" s="399">
        <v>0</v>
      </c>
      <c r="G23" s="399">
        <v>0</v>
      </c>
      <c r="H23" s="399">
        <v>0</v>
      </c>
      <c r="I23" s="399">
        <v>0</v>
      </c>
      <c r="J23" s="399">
        <v>0</v>
      </c>
      <c r="K23" s="399">
        <v>0</v>
      </c>
      <c r="L23" s="399">
        <v>0</v>
      </c>
      <c r="M23" s="399">
        <v>0</v>
      </c>
      <c r="N23" s="399">
        <v>5.4000000000000003E-3</v>
      </c>
      <c r="O23" s="399">
        <v>0.01</v>
      </c>
      <c r="P23" s="399">
        <v>0.01</v>
      </c>
      <c r="Q23" s="399">
        <v>0.01</v>
      </c>
      <c r="R23" s="399">
        <v>0.01</v>
      </c>
      <c r="S23" s="399">
        <v>0.01</v>
      </c>
      <c r="T23" s="399">
        <v>0.01</v>
      </c>
      <c r="U23" s="399">
        <v>0.01</v>
      </c>
      <c r="V23" s="402">
        <v>5</v>
      </c>
      <c r="W23" s="391" t="s">
        <v>812</v>
      </c>
      <c r="X23" s="620" t="s">
        <v>1481</v>
      </c>
      <c r="Y23" s="395"/>
      <c r="Z23" s="395"/>
      <c r="AA23" s="387">
        <f t="shared" si="3"/>
        <v>2011</v>
      </c>
    </row>
    <row r="24" spans="1:27" x14ac:dyDescent="0.2">
      <c r="A24" s="391">
        <f t="shared" si="2"/>
        <v>22</v>
      </c>
      <c r="B24" s="396">
        <v>40</v>
      </c>
      <c r="C24" s="394" t="s">
        <v>817</v>
      </c>
      <c r="D24" s="392">
        <f t="shared" si="0"/>
        <v>1.4999999999999999E-2</v>
      </c>
      <c r="E24" s="392">
        <f t="shared" si="1"/>
        <v>1.4999999999999999E-2</v>
      </c>
      <c r="F24" s="399">
        <v>1.4999999999999999E-2</v>
      </c>
      <c r="G24" s="399">
        <v>1.4999999999999999E-2</v>
      </c>
      <c r="H24" s="399">
        <v>1.4999999999999999E-2</v>
      </c>
      <c r="I24" s="399">
        <v>1.4999999999999999E-2</v>
      </c>
      <c r="J24" s="399">
        <v>1.4999999999999999E-2</v>
      </c>
      <c r="K24" s="399">
        <v>1.4999999999999999E-2</v>
      </c>
      <c r="L24" s="399">
        <v>1.4999999999999999E-2</v>
      </c>
      <c r="M24" s="399">
        <v>1.4999999999999999E-2</v>
      </c>
      <c r="N24" s="399">
        <v>1.4999999999999999E-2</v>
      </c>
      <c r="O24" s="399">
        <v>1.4999999999999999E-2</v>
      </c>
      <c r="P24" s="399">
        <v>1.4999999999999999E-2</v>
      </c>
      <c r="Q24" s="399">
        <v>1.4999999999999999E-2</v>
      </c>
      <c r="R24" s="399">
        <v>1.4999999999999999E-2</v>
      </c>
      <c r="S24" s="399">
        <v>1.4999999999999999E-2</v>
      </c>
      <c r="T24" s="399">
        <v>1.4999999999999999E-2</v>
      </c>
      <c r="U24" s="399">
        <v>1.4999999999999999E-2</v>
      </c>
      <c r="V24" s="402">
        <v>5</v>
      </c>
      <c r="W24" s="391" t="s">
        <v>812</v>
      </c>
      <c r="X24" s="391"/>
      <c r="Y24" s="395"/>
      <c r="Z24" s="395"/>
      <c r="AA24" s="387">
        <f t="shared" si="3"/>
        <v>1980</v>
      </c>
    </row>
    <row r="25" spans="1:27" x14ac:dyDescent="0.2">
      <c r="A25" s="391">
        <f t="shared" si="2"/>
        <v>23</v>
      </c>
      <c r="B25" s="396">
        <v>50</v>
      </c>
      <c r="C25" s="394" t="s">
        <v>818</v>
      </c>
      <c r="D25" s="392">
        <f t="shared" si="0"/>
        <v>0.02</v>
      </c>
      <c r="E25" s="392">
        <f t="shared" si="1"/>
        <v>0.02</v>
      </c>
      <c r="F25" s="399">
        <v>1.4999999999999999E-2</v>
      </c>
      <c r="G25" s="399">
        <v>1.4999999999999999E-2</v>
      </c>
      <c r="H25" s="399">
        <v>1.4999999999999999E-2</v>
      </c>
      <c r="I25" s="399">
        <v>1.4999999999999999E-2</v>
      </c>
      <c r="J25" s="399">
        <v>1.4999999999999999E-2</v>
      </c>
      <c r="K25" s="399">
        <v>1.4999999999999999E-2</v>
      </c>
      <c r="L25" s="399">
        <v>1.4999999999999999E-2</v>
      </c>
      <c r="M25" s="399">
        <v>0.02</v>
      </c>
      <c r="N25" s="399">
        <v>0.02</v>
      </c>
      <c r="O25" s="399">
        <v>0.02</v>
      </c>
      <c r="P25" s="399">
        <v>0.02</v>
      </c>
      <c r="Q25" s="399">
        <v>0.02</v>
      </c>
      <c r="R25" s="399">
        <v>0.02</v>
      </c>
      <c r="S25" s="399">
        <v>0.02</v>
      </c>
      <c r="T25" s="399">
        <v>0.02</v>
      </c>
      <c r="U25" s="399">
        <v>0.02</v>
      </c>
      <c r="V25" s="402">
        <v>5</v>
      </c>
      <c r="W25" s="391" t="s">
        <v>812</v>
      </c>
      <c r="X25" s="391"/>
      <c r="Y25" s="395"/>
      <c r="Z25" s="395"/>
      <c r="AA25" s="387">
        <f t="shared" si="3"/>
        <v>1980</v>
      </c>
    </row>
    <row r="26" spans="1:27" x14ac:dyDescent="0.2">
      <c r="A26" s="391">
        <f>+A25+1</f>
        <v>24</v>
      </c>
      <c r="B26" s="396">
        <v>54</v>
      </c>
      <c r="C26" s="397" t="s">
        <v>1177</v>
      </c>
      <c r="D26" s="392">
        <f t="shared" si="0"/>
        <v>0.01</v>
      </c>
      <c r="E26" s="392">
        <f t="shared" si="1"/>
        <v>0.01</v>
      </c>
      <c r="F26" s="399">
        <v>0</v>
      </c>
      <c r="G26" s="399">
        <v>0</v>
      </c>
      <c r="H26" s="399">
        <v>0</v>
      </c>
      <c r="I26" s="399">
        <v>0</v>
      </c>
      <c r="J26" s="399">
        <v>0</v>
      </c>
      <c r="K26" s="399">
        <v>0</v>
      </c>
      <c r="L26" s="399">
        <v>0.01</v>
      </c>
      <c r="M26" s="399">
        <v>0.01</v>
      </c>
      <c r="N26" s="399">
        <v>0.01</v>
      </c>
      <c r="O26" s="399">
        <v>0.01</v>
      </c>
      <c r="P26" s="399">
        <v>0.01</v>
      </c>
      <c r="Q26" s="399">
        <v>0.01</v>
      </c>
      <c r="R26" s="399">
        <v>0.01</v>
      </c>
      <c r="S26" s="399">
        <v>0.01</v>
      </c>
      <c r="T26" s="399">
        <v>0.01</v>
      </c>
      <c r="U26" s="399">
        <v>0.01</v>
      </c>
      <c r="V26" s="402">
        <v>5</v>
      </c>
      <c r="W26" s="391" t="s">
        <v>812</v>
      </c>
      <c r="X26" s="391"/>
      <c r="Y26" s="395"/>
      <c r="Z26" s="395"/>
      <c r="AA26" s="387">
        <f t="shared" si="3"/>
        <v>2009</v>
      </c>
    </row>
    <row r="27" spans="1:27" x14ac:dyDescent="0.2">
      <c r="A27" s="391">
        <f t="shared" si="2"/>
        <v>25</v>
      </c>
      <c r="B27" s="396">
        <v>65</v>
      </c>
      <c r="C27" s="394" t="s">
        <v>819</v>
      </c>
      <c r="D27" s="392">
        <f t="shared" si="0"/>
        <v>0.02</v>
      </c>
      <c r="E27" s="392">
        <f t="shared" si="1"/>
        <v>0.02</v>
      </c>
      <c r="F27" s="399">
        <v>0.02</v>
      </c>
      <c r="G27" s="399">
        <v>0.02</v>
      </c>
      <c r="H27" s="399">
        <v>0.02</v>
      </c>
      <c r="I27" s="399">
        <v>0.02</v>
      </c>
      <c r="J27" s="399">
        <v>0.02</v>
      </c>
      <c r="K27" s="399">
        <v>0.02</v>
      </c>
      <c r="L27" s="399">
        <v>0.02</v>
      </c>
      <c r="M27" s="399">
        <v>0.02</v>
      </c>
      <c r="N27" s="399">
        <v>0.02</v>
      </c>
      <c r="O27" s="399">
        <v>0.02</v>
      </c>
      <c r="P27" s="399">
        <v>0.02</v>
      </c>
      <c r="Q27" s="399">
        <v>0.02</v>
      </c>
      <c r="R27" s="399">
        <v>0.02</v>
      </c>
      <c r="S27" s="399">
        <v>0.02</v>
      </c>
      <c r="T27" s="399">
        <v>0.02</v>
      </c>
      <c r="U27" s="399">
        <v>0.02</v>
      </c>
      <c r="V27" s="402">
        <v>5</v>
      </c>
      <c r="W27" s="391" t="s">
        <v>812</v>
      </c>
      <c r="X27" s="391"/>
      <c r="Y27" s="395"/>
      <c r="Z27" s="395"/>
      <c r="AA27" s="387">
        <f t="shared" si="3"/>
        <v>1980</v>
      </c>
    </row>
    <row r="28" spans="1:27" x14ac:dyDescent="0.2">
      <c r="A28" s="391">
        <f t="shared" si="2"/>
        <v>26</v>
      </c>
      <c r="B28" s="396">
        <v>83</v>
      </c>
      <c r="C28" s="397" t="s">
        <v>1223</v>
      </c>
      <c r="D28" s="392">
        <f t="shared" si="0"/>
        <v>0.01</v>
      </c>
      <c r="E28" s="392">
        <f t="shared" si="1"/>
        <v>0.01</v>
      </c>
      <c r="F28" s="399">
        <v>0.01</v>
      </c>
      <c r="G28" s="399">
        <v>0.01</v>
      </c>
      <c r="H28" s="399">
        <v>0.01</v>
      </c>
      <c r="I28" s="399">
        <v>0.01</v>
      </c>
      <c r="J28" s="399">
        <v>0.01</v>
      </c>
      <c r="K28" s="399">
        <v>0.01</v>
      </c>
      <c r="L28" s="399">
        <v>0.01</v>
      </c>
      <c r="M28" s="399">
        <v>0.01</v>
      </c>
      <c r="N28" s="399">
        <v>0.01</v>
      </c>
      <c r="O28" s="399">
        <v>0.01</v>
      </c>
      <c r="P28" s="399">
        <v>0.01</v>
      </c>
      <c r="Q28" s="399">
        <v>0.01</v>
      </c>
      <c r="R28" s="399">
        <v>0.01</v>
      </c>
      <c r="S28" s="399">
        <v>0.01</v>
      </c>
      <c r="T28" s="399">
        <v>0.01</v>
      </c>
      <c r="U28" s="399">
        <v>0.01</v>
      </c>
      <c r="V28" s="402">
        <v>0</v>
      </c>
      <c r="W28" s="402" t="s">
        <v>687</v>
      </c>
      <c r="X28" s="391"/>
      <c r="Y28" s="395"/>
      <c r="Z28" s="395"/>
      <c r="AA28" s="387">
        <f t="shared" si="3"/>
        <v>1980</v>
      </c>
    </row>
    <row r="29" spans="1:27" s="3" customFormat="1" x14ac:dyDescent="0.2">
      <c r="A29" s="402">
        <f t="shared" si="2"/>
        <v>27</v>
      </c>
      <c r="B29" s="401">
        <v>87</v>
      </c>
      <c r="C29" s="397" t="s">
        <v>1507</v>
      </c>
      <c r="D29" s="399">
        <f t="shared" si="0"/>
        <v>1.3332999999999999E-2</v>
      </c>
      <c r="E29" s="392">
        <f t="shared" si="1"/>
        <v>1.3332999999999999E-2</v>
      </c>
      <c r="F29" s="399">
        <v>1.3332999999999999E-2</v>
      </c>
      <c r="G29" s="399">
        <v>1.3332999999999999E-2</v>
      </c>
      <c r="H29" s="399">
        <v>1.3332999999999999E-2</v>
      </c>
      <c r="I29" s="399">
        <v>1.3332999999999999E-2</v>
      </c>
      <c r="J29" s="399">
        <v>1.3332999999999999E-2</v>
      </c>
      <c r="K29" s="399">
        <v>1.3332999999999999E-2</v>
      </c>
      <c r="L29" s="399">
        <v>1.3332999999999999E-2</v>
      </c>
      <c r="M29" s="399">
        <v>1.3332999999999999E-2</v>
      </c>
      <c r="N29" s="399">
        <v>1.3332999999999999E-2</v>
      </c>
      <c r="O29" s="399">
        <v>1.3332999999999999E-2</v>
      </c>
      <c r="P29" s="399">
        <v>1.3332999999999999E-2</v>
      </c>
      <c r="Q29" s="399">
        <v>1.3332999999999999E-2</v>
      </c>
      <c r="R29" s="399">
        <v>1.3332999999999999E-2</v>
      </c>
      <c r="S29" s="399">
        <v>1.3332999999999999E-2</v>
      </c>
      <c r="T29" s="399">
        <v>1.3332999999999999E-2</v>
      </c>
      <c r="U29" s="399">
        <v>1.3332999999999999E-2</v>
      </c>
      <c r="V29" s="402">
        <v>0</v>
      </c>
      <c r="W29" s="402" t="s">
        <v>687</v>
      </c>
      <c r="X29" s="402"/>
      <c r="Y29" s="726"/>
      <c r="Z29" s="726"/>
      <c r="AA29" s="387">
        <f t="shared" si="3"/>
        <v>1980</v>
      </c>
    </row>
    <row r="30" spans="1:27" x14ac:dyDescent="0.2">
      <c r="A30" s="391">
        <f t="shared" si="2"/>
        <v>28</v>
      </c>
      <c r="B30" s="396">
        <v>86</v>
      </c>
      <c r="C30" s="397" t="s">
        <v>486</v>
      </c>
      <c r="D30" s="392">
        <f t="shared" si="0"/>
        <v>1.7500000000000002E-2</v>
      </c>
      <c r="E30" s="392">
        <f t="shared" si="1"/>
        <v>0.02</v>
      </c>
      <c r="F30" s="399">
        <v>1.4999999999999999E-2</v>
      </c>
      <c r="G30" s="399">
        <v>1.4999999999999999E-2</v>
      </c>
      <c r="H30" s="399">
        <v>1.4999999999999999E-2</v>
      </c>
      <c r="I30" s="399">
        <v>1.4999999999999999E-2</v>
      </c>
      <c r="J30" s="399">
        <v>1.4999999999999999E-2</v>
      </c>
      <c r="K30" s="399">
        <v>1.4999999999999999E-2</v>
      </c>
      <c r="L30" s="399">
        <v>1.4999999999999999E-2</v>
      </c>
      <c r="M30" s="399">
        <v>1.4999999999999999E-2</v>
      </c>
      <c r="N30" s="399">
        <v>1.4999999999999999E-2</v>
      </c>
      <c r="O30" s="399">
        <v>1.4999999999999999E-2</v>
      </c>
      <c r="P30" s="399">
        <v>1.4999999999999999E-2</v>
      </c>
      <c r="Q30" s="399">
        <v>1.4999999999999999E-2</v>
      </c>
      <c r="R30" s="399">
        <v>1.4999999999999999E-2</v>
      </c>
      <c r="S30" s="399">
        <v>1.4999999999999999E-2</v>
      </c>
      <c r="T30" s="399">
        <v>1.7500000000000002E-2</v>
      </c>
      <c r="U30" s="399">
        <v>0.02</v>
      </c>
      <c r="V30" s="402">
        <v>1</v>
      </c>
      <c r="W30" s="391" t="s">
        <v>812</v>
      </c>
      <c r="X30" s="619" t="s">
        <v>1654</v>
      </c>
      <c r="Y30" s="395"/>
      <c r="Z30" s="395"/>
      <c r="AA30" s="387">
        <f t="shared" si="3"/>
        <v>1980</v>
      </c>
    </row>
    <row r="31" spans="1:27" x14ac:dyDescent="0.2">
      <c r="A31" s="391">
        <f t="shared" si="2"/>
        <v>29</v>
      </c>
      <c r="B31" s="396">
        <v>89</v>
      </c>
      <c r="C31" s="397" t="s">
        <v>951</v>
      </c>
      <c r="D31" s="392">
        <f t="shared" si="0"/>
        <v>0.01</v>
      </c>
      <c r="E31" s="392">
        <f t="shared" si="1"/>
        <v>0.01</v>
      </c>
      <c r="F31" s="399">
        <v>0</v>
      </c>
      <c r="G31" s="399">
        <v>0.01</v>
      </c>
      <c r="H31" s="399">
        <v>0.01</v>
      </c>
      <c r="I31" s="399">
        <v>0.01</v>
      </c>
      <c r="J31" s="399">
        <v>0.01</v>
      </c>
      <c r="K31" s="399">
        <v>0.01</v>
      </c>
      <c r="L31" s="399">
        <v>0.01</v>
      </c>
      <c r="M31" s="399">
        <v>0.01</v>
      </c>
      <c r="N31" s="399">
        <v>0.01</v>
      </c>
      <c r="O31" s="399">
        <v>0.01</v>
      </c>
      <c r="P31" s="399">
        <v>0.01</v>
      </c>
      <c r="Q31" s="399">
        <v>0.01</v>
      </c>
      <c r="R31" s="399">
        <v>0.01</v>
      </c>
      <c r="S31" s="399">
        <v>0.01</v>
      </c>
      <c r="T31" s="399">
        <v>0.01</v>
      </c>
      <c r="U31" s="399">
        <v>0.01</v>
      </c>
      <c r="V31" s="402">
        <v>5</v>
      </c>
      <c r="W31" s="391" t="s">
        <v>812</v>
      </c>
      <c r="X31" s="391"/>
      <c r="Y31" s="395"/>
      <c r="Z31" s="395"/>
      <c r="AA31" s="387">
        <f t="shared" si="3"/>
        <v>2004</v>
      </c>
    </row>
    <row r="32" spans="1:27" x14ac:dyDescent="0.2">
      <c r="A32" s="391">
        <f t="shared" si="2"/>
        <v>30</v>
      </c>
      <c r="B32" s="396">
        <v>90</v>
      </c>
      <c r="C32" s="397" t="s">
        <v>820</v>
      </c>
      <c r="D32" s="392">
        <f t="shared" si="0"/>
        <v>0.01</v>
      </c>
      <c r="E32" s="392">
        <f t="shared" si="1"/>
        <v>0.01</v>
      </c>
      <c r="F32" s="399">
        <v>0.01</v>
      </c>
      <c r="G32" s="399">
        <v>0.01</v>
      </c>
      <c r="H32" s="399">
        <v>0.01</v>
      </c>
      <c r="I32" s="399">
        <v>0.01</v>
      </c>
      <c r="J32" s="399">
        <v>0.01</v>
      </c>
      <c r="K32" s="399">
        <v>0.01</v>
      </c>
      <c r="L32" s="399">
        <v>0.01</v>
      </c>
      <c r="M32" s="399">
        <v>0.01</v>
      </c>
      <c r="N32" s="399">
        <v>0.01</v>
      </c>
      <c r="O32" s="399">
        <v>0.01</v>
      </c>
      <c r="P32" s="399">
        <v>0.01</v>
      </c>
      <c r="Q32" s="399">
        <v>0.01</v>
      </c>
      <c r="R32" s="399">
        <v>0.01</v>
      </c>
      <c r="S32" s="399">
        <v>0.01</v>
      </c>
      <c r="T32" s="399">
        <v>0.01</v>
      </c>
      <c r="U32" s="399">
        <v>0.01</v>
      </c>
      <c r="V32" s="402">
        <v>5</v>
      </c>
      <c r="W32" s="391" t="s">
        <v>812</v>
      </c>
      <c r="X32" s="391"/>
      <c r="Y32" s="395"/>
      <c r="Z32" s="395"/>
      <c r="AA32" s="387">
        <f t="shared" si="3"/>
        <v>1980</v>
      </c>
    </row>
    <row r="33" spans="1:27" x14ac:dyDescent="0.2">
      <c r="A33" s="391">
        <f t="shared" si="2"/>
        <v>31</v>
      </c>
      <c r="B33" s="396">
        <v>100</v>
      </c>
      <c r="C33" s="397" t="s">
        <v>821</v>
      </c>
      <c r="D33" s="392">
        <f t="shared" si="0"/>
        <v>0.02</v>
      </c>
      <c r="E33" s="392">
        <f t="shared" si="1"/>
        <v>0.02</v>
      </c>
      <c r="F33" s="399">
        <v>0.02</v>
      </c>
      <c r="G33" s="399">
        <v>0.02</v>
      </c>
      <c r="H33" s="399">
        <v>0.02</v>
      </c>
      <c r="I33" s="399">
        <v>0.02</v>
      </c>
      <c r="J33" s="399">
        <v>0.02</v>
      </c>
      <c r="K33" s="399">
        <v>0.02</v>
      </c>
      <c r="L33" s="399">
        <v>0.02</v>
      </c>
      <c r="M33" s="399">
        <v>0.02</v>
      </c>
      <c r="N33" s="399">
        <v>0.02</v>
      </c>
      <c r="O33" s="399">
        <v>0.02</v>
      </c>
      <c r="P33" s="399">
        <v>0.02</v>
      </c>
      <c r="Q33" s="399">
        <v>0.02</v>
      </c>
      <c r="R33" s="399">
        <v>0.02</v>
      </c>
      <c r="S33" s="399">
        <v>0.02</v>
      </c>
      <c r="T33" s="399">
        <v>0.02</v>
      </c>
      <c r="U33" s="399">
        <v>0.02</v>
      </c>
      <c r="V33" s="402">
        <v>5</v>
      </c>
      <c r="W33" s="391" t="s">
        <v>812</v>
      </c>
      <c r="X33" s="391"/>
      <c r="Y33" s="395"/>
      <c r="Z33" s="395"/>
      <c r="AA33" s="387">
        <f t="shared" si="3"/>
        <v>1980</v>
      </c>
    </row>
    <row r="34" spans="1:27" s="3" customFormat="1" x14ac:dyDescent="0.2">
      <c r="A34" s="402">
        <f t="shared" si="2"/>
        <v>32</v>
      </c>
      <c r="B34" s="401">
        <v>116</v>
      </c>
      <c r="C34" s="397" t="s">
        <v>1508</v>
      </c>
      <c r="D34" s="399">
        <f t="shared" si="0"/>
        <v>5.0000000000000001E-3</v>
      </c>
      <c r="E34" s="392">
        <f t="shared" si="1"/>
        <v>5.0000000000000001E-3</v>
      </c>
      <c r="F34" s="399">
        <v>0</v>
      </c>
      <c r="G34" s="399">
        <v>0</v>
      </c>
      <c r="H34" s="399">
        <v>0</v>
      </c>
      <c r="I34" s="399">
        <v>0</v>
      </c>
      <c r="J34" s="399">
        <v>0</v>
      </c>
      <c r="K34" s="399">
        <v>0</v>
      </c>
      <c r="L34" s="399">
        <v>0</v>
      </c>
      <c r="M34" s="399">
        <v>0</v>
      </c>
      <c r="N34" s="399">
        <v>0</v>
      </c>
      <c r="O34" s="399">
        <v>0</v>
      </c>
      <c r="P34" s="399">
        <v>0</v>
      </c>
      <c r="Q34" s="399">
        <v>0</v>
      </c>
      <c r="R34" s="399">
        <v>5.0000000000000001E-3</v>
      </c>
      <c r="S34" s="399">
        <v>5.0000000000000001E-3</v>
      </c>
      <c r="T34" s="399">
        <v>5.0000000000000001E-3</v>
      </c>
      <c r="U34" s="399">
        <v>5.0000000000000001E-3</v>
      </c>
      <c r="V34" s="402">
        <v>5</v>
      </c>
      <c r="W34" s="402" t="s">
        <v>812</v>
      </c>
      <c r="X34" s="402"/>
      <c r="Y34" s="726"/>
      <c r="Z34" s="726"/>
      <c r="AA34" s="387">
        <f t="shared" si="3"/>
        <v>2015</v>
      </c>
    </row>
    <row r="35" spans="1:27" x14ac:dyDescent="0.2">
      <c r="A35" s="391">
        <f t="shared" si="2"/>
        <v>33</v>
      </c>
      <c r="B35" s="396">
        <v>102</v>
      </c>
      <c r="C35" s="397" t="s">
        <v>69</v>
      </c>
      <c r="D35" s="392">
        <f t="shared" si="0"/>
        <v>0.01</v>
      </c>
      <c r="E35" s="392">
        <f t="shared" si="1"/>
        <v>0.01</v>
      </c>
      <c r="F35" s="399">
        <v>0</v>
      </c>
      <c r="G35" s="399">
        <v>0</v>
      </c>
      <c r="H35" s="399">
        <v>0</v>
      </c>
      <c r="I35" s="399">
        <v>0.01</v>
      </c>
      <c r="J35" s="399">
        <v>0.01</v>
      </c>
      <c r="K35" s="399">
        <v>0.01</v>
      </c>
      <c r="L35" s="399">
        <v>0.01</v>
      </c>
      <c r="M35" s="399">
        <v>0.01</v>
      </c>
      <c r="N35" s="399">
        <v>0.01</v>
      </c>
      <c r="O35" s="399">
        <v>0.01</v>
      </c>
      <c r="P35" s="399">
        <v>0.01</v>
      </c>
      <c r="Q35" s="399">
        <v>0.01</v>
      </c>
      <c r="R35" s="399">
        <v>0.01</v>
      </c>
      <c r="S35" s="399">
        <v>0.01</v>
      </c>
      <c r="T35" s="399">
        <v>0.01</v>
      </c>
      <c r="U35" s="399">
        <v>0.01</v>
      </c>
      <c r="V35" s="402">
        <v>5</v>
      </c>
      <c r="W35" s="391" t="s">
        <v>812</v>
      </c>
      <c r="X35" s="391"/>
      <c r="Y35" s="395"/>
      <c r="Z35" s="395"/>
      <c r="AA35" s="387">
        <f t="shared" si="3"/>
        <v>2006</v>
      </c>
    </row>
    <row r="36" spans="1:27" x14ac:dyDescent="0.2">
      <c r="A36" s="391">
        <f t="shared" si="2"/>
        <v>34</v>
      </c>
      <c r="B36" s="396">
        <v>104</v>
      </c>
      <c r="C36" s="397" t="s">
        <v>823</v>
      </c>
      <c r="D36" s="392">
        <f t="shared" si="0"/>
        <v>2.5000000000000001E-2</v>
      </c>
      <c r="E36" s="392">
        <f t="shared" si="1"/>
        <v>2.5000000000000001E-2</v>
      </c>
      <c r="F36" s="399">
        <v>0.02</v>
      </c>
      <c r="G36" s="399">
        <v>0.02</v>
      </c>
      <c r="H36" s="399">
        <v>0.02</v>
      </c>
      <c r="I36" s="399">
        <v>0.02</v>
      </c>
      <c r="J36" s="399">
        <v>0.02</v>
      </c>
      <c r="K36" s="399">
        <v>0.02</v>
      </c>
      <c r="L36" s="399">
        <v>0.02</v>
      </c>
      <c r="M36" s="399">
        <v>0.02</v>
      </c>
      <c r="N36" s="399">
        <v>2.5000000000000001E-2</v>
      </c>
      <c r="O36" s="399">
        <v>2.5000000000000001E-2</v>
      </c>
      <c r="P36" s="399">
        <v>2.5000000000000001E-2</v>
      </c>
      <c r="Q36" s="399">
        <v>2.5000000000000001E-2</v>
      </c>
      <c r="R36" s="399">
        <v>2.5000000000000001E-2</v>
      </c>
      <c r="S36" s="399">
        <v>2.5000000000000001E-2</v>
      </c>
      <c r="T36" s="399">
        <v>2.5000000000000001E-2</v>
      </c>
      <c r="U36" s="399">
        <v>2.5000000000000001E-2</v>
      </c>
      <c r="V36" s="402">
        <v>0</v>
      </c>
      <c r="W36" s="391" t="s">
        <v>687</v>
      </c>
      <c r="X36" s="391"/>
      <c r="Y36" s="395"/>
      <c r="Z36" s="395"/>
      <c r="AA36" s="387">
        <f t="shared" si="3"/>
        <v>1980</v>
      </c>
    </row>
    <row r="37" spans="1:27" x14ac:dyDescent="0.2">
      <c r="A37" s="391">
        <f t="shared" si="2"/>
        <v>35</v>
      </c>
      <c r="B37" s="396">
        <v>96</v>
      </c>
      <c r="C37" s="397" t="s">
        <v>1224</v>
      </c>
      <c r="D37" s="392">
        <f t="shared" si="0"/>
        <v>0.01</v>
      </c>
      <c r="E37" s="392">
        <f t="shared" si="1"/>
        <v>0.01</v>
      </c>
      <c r="F37" s="399">
        <v>0.01</v>
      </c>
      <c r="G37" s="399">
        <v>0.01</v>
      </c>
      <c r="H37" s="399">
        <v>0.01</v>
      </c>
      <c r="I37" s="399">
        <v>0.01</v>
      </c>
      <c r="J37" s="399">
        <v>0.01</v>
      </c>
      <c r="K37" s="399">
        <v>0.01</v>
      </c>
      <c r="L37" s="399">
        <v>0.01</v>
      </c>
      <c r="M37" s="399">
        <v>0.01</v>
      </c>
      <c r="N37" s="399">
        <v>0.01</v>
      </c>
      <c r="O37" s="399">
        <v>0.01</v>
      </c>
      <c r="P37" s="399">
        <v>0.01</v>
      </c>
      <c r="Q37" s="399">
        <v>0.01</v>
      </c>
      <c r="R37" s="399">
        <v>0.01</v>
      </c>
      <c r="S37" s="399">
        <v>0.01</v>
      </c>
      <c r="T37" s="399">
        <v>0.01</v>
      </c>
      <c r="U37" s="399">
        <v>0.01</v>
      </c>
      <c r="V37" s="402">
        <v>5</v>
      </c>
      <c r="W37" s="402" t="s">
        <v>812</v>
      </c>
      <c r="X37" s="391"/>
      <c r="Y37" s="395"/>
      <c r="Z37" s="395"/>
      <c r="AA37" s="387">
        <f t="shared" si="3"/>
        <v>1980</v>
      </c>
    </row>
    <row r="38" spans="1:27" x14ac:dyDescent="0.2">
      <c r="A38" s="391">
        <f t="shared" si="2"/>
        <v>36</v>
      </c>
      <c r="B38" s="396">
        <v>95</v>
      </c>
      <c r="C38" s="397" t="s">
        <v>1065</v>
      </c>
      <c r="D38" s="392">
        <f t="shared" si="0"/>
        <v>0.01</v>
      </c>
      <c r="E38" s="392">
        <f t="shared" si="1"/>
        <v>0.01</v>
      </c>
      <c r="F38" s="399">
        <v>0</v>
      </c>
      <c r="G38" s="399">
        <v>0</v>
      </c>
      <c r="H38" s="399">
        <v>0</v>
      </c>
      <c r="I38" s="399">
        <v>0</v>
      </c>
      <c r="J38" s="399">
        <v>0.01</v>
      </c>
      <c r="K38" s="399">
        <v>0.01</v>
      </c>
      <c r="L38" s="399">
        <v>0.01</v>
      </c>
      <c r="M38" s="399">
        <v>0.01</v>
      </c>
      <c r="N38" s="399">
        <v>0.01</v>
      </c>
      <c r="O38" s="399">
        <v>0.01</v>
      </c>
      <c r="P38" s="399">
        <v>0.01</v>
      </c>
      <c r="Q38" s="399">
        <v>0.01</v>
      </c>
      <c r="R38" s="399">
        <v>0.01</v>
      </c>
      <c r="S38" s="399">
        <v>0.01</v>
      </c>
      <c r="T38" s="399">
        <v>0.01</v>
      </c>
      <c r="U38" s="399">
        <v>0.01</v>
      </c>
      <c r="V38" s="402">
        <v>5</v>
      </c>
      <c r="W38" s="391" t="s">
        <v>812</v>
      </c>
      <c r="X38" s="391"/>
      <c r="Y38" s="395"/>
      <c r="Z38" s="395"/>
      <c r="AA38" s="387">
        <f t="shared" ref="AA38" si="4">_xlfn.IFNA(MATCH(0,F38:U38,1),-23) + F$2 -1</f>
        <v>2007</v>
      </c>
    </row>
    <row r="39" spans="1:27" s="773" customFormat="1" x14ac:dyDescent="0.2">
      <c r="A39" s="764">
        <f t="shared" si="2"/>
        <v>37</v>
      </c>
      <c r="B39" s="774">
        <v>123</v>
      </c>
      <c r="C39" s="775" t="s">
        <v>1770</v>
      </c>
      <c r="D39" s="767">
        <f t="shared" si="0"/>
        <v>0</v>
      </c>
      <c r="E39" s="767">
        <f t="shared" si="1"/>
        <v>0.01</v>
      </c>
      <c r="F39" s="767">
        <v>0</v>
      </c>
      <c r="G39" s="767">
        <v>0</v>
      </c>
      <c r="H39" s="767">
        <v>0</v>
      </c>
      <c r="I39" s="767">
        <v>0</v>
      </c>
      <c r="J39" s="767">
        <v>0</v>
      </c>
      <c r="K39" s="767">
        <v>0</v>
      </c>
      <c r="L39" s="767">
        <v>0</v>
      </c>
      <c r="M39" s="767">
        <v>0</v>
      </c>
      <c r="N39" s="767">
        <v>0</v>
      </c>
      <c r="O39" s="767">
        <v>0</v>
      </c>
      <c r="P39" s="767">
        <v>0</v>
      </c>
      <c r="Q39" s="767">
        <v>0</v>
      </c>
      <c r="R39" s="767">
        <v>0</v>
      </c>
      <c r="S39" s="767">
        <v>0</v>
      </c>
      <c r="T39" s="767">
        <v>0</v>
      </c>
      <c r="U39" s="767">
        <v>0.01</v>
      </c>
      <c r="V39" s="764">
        <v>5</v>
      </c>
      <c r="W39" s="764" t="s">
        <v>812</v>
      </c>
      <c r="X39" s="764"/>
      <c r="Y39" s="776"/>
      <c r="Z39" s="776"/>
      <c r="AA39" s="772">
        <f t="shared" si="3"/>
        <v>2018</v>
      </c>
    </row>
    <row r="40" spans="1:27" x14ac:dyDescent="0.2">
      <c r="A40" s="391">
        <f t="shared" si="2"/>
        <v>38</v>
      </c>
      <c r="B40" s="396">
        <v>110</v>
      </c>
      <c r="C40" s="394" t="s">
        <v>824</v>
      </c>
      <c r="D40" s="392">
        <f t="shared" si="0"/>
        <v>0.02</v>
      </c>
      <c r="E40" s="392">
        <f t="shared" si="1"/>
        <v>0.02</v>
      </c>
      <c r="F40" s="398">
        <v>1.4999999999999999E-2</v>
      </c>
      <c r="G40" s="399">
        <v>0.02</v>
      </c>
      <c r="H40" s="399">
        <v>0.02</v>
      </c>
      <c r="I40" s="399">
        <v>0.02</v>
      </c>
      <c r="J40" s="399">
        <v>0.02</v>
      </c>
      <c r="K40" s="399">
        <v>0.02</v>
      </c>
      <c r="L40" s="399">
        <v>0.02</v>
      </c>
      <c r="M40" s="399">
        <v>0.02</v>
      </c>
      <c r="N40" s="399">
        <v>0.02</v>
      </c>
      <c r="O40" s="399">
        <v>0.02</v>
      </c>
      <c r="P40" s="399">
        <v>0.02</v>
      </c>
      <c r="Q40" s="399">
        <v>0.02</v>
      </c>
      <c r="R40" s="399">
        <v>0.02</v>
      </c>
      <c r="S40" s="399">
        <v>0.02</v>
      </c>
      <c r="T40" s="399">
        <v>0.02</v>
      </c>
      <c r="U40" s="399">
        <v>0.02</v>
      </c>
      <c r="V40" s="402">
        <v>3</v>
      </c>
      <c r="W40" s="391" t="s">
        <v>812</v>
      </c>
      <c r="X40" s="391"/>
      <c r="Y40" s="395"/>
      <c r="Z40" s="395"/>
      <c r="AA40" s="387">
        <f t="shared" si="3"/>
        <v>1980</v>
      </c>
    </row>
    <row r="41" spans="1:27" x14ac:dyDescent="0.2">
      <c r="A41" s="391">
        <f>+A40+1</f>
        <v>39</v>
      </c>
      <c r="B41" s="396">
        <v>117</v>
      </c>
      <c r="C41" s="397" t="s">
        <v>1490</v>
      </c>
      <c r="D41" s="392">
        <f t="shared" si="0"/>
        <v>0.02</v>
      </c>
      <c r="E41" s="392">
        <f t="shared" si="1"/>
        <v>0.02</v>
      </c>
      <c r="F41" s="398">
        <v>0</v>
      </c>
      <c r="G41" s="399">
        <v>0</v>
      </c>
      <c r="H41" s="399">
        <v>0</v>
      </c>
      <c r="I41" s="399">
        <v>0</v>
      </c>
      <c r="J41" s="399">
        <v>0</v>
      </c>
      <c r="K41" s="399">
        <v>0</v>
      </c>
      <c r="L41" s="399">
        <v>0</v>
      </c>
      <c r="M41" s="399">
        <v>0</v>
      </c>
      <c r="N41" s="399">
        <v>0.02</v>
      </c>
      <c r="O41" s="399">
        <v>0.02</v>
      </c>
      <c r="P41" s="399">
        <v>0.02</v>
      </c>
      <c r="Q41" s="399">
        <v>0.02</v>
      </c>
      <c r="R41" s="399">
        <v>0.02</v>
      </c>
      <c r="S41" s="399">
        <v>0.02</v>
      </c>
      <c r="T41" s="399">
        <v>0.02</v>
      </c>
      <c r="U41" s="399">
        <v>0.02</v>
      </c>
      <c r="V41" s="402">
        <v>5</v>
      </c>
      <c r="W41" s="391" t="s">
        <v>812</v>
      </c>
      <c r="X41" s="391"/>
      <c r="Y41" s="395"/>
      <c r="Z41" s="395"/>
      <c r="AA41" s="387">
        <f t="shared" si="3"/>
        <v>2011</v>
      </c>
    </row>
    <row r="42" spans="1:27" x14ac:dyDescent="0.2">
      <c r="A42" s="391">
        <f t="shared" si="2"/>
        <v>40</v>
      </c>
      <c r="B42" s="396">
        <v>130</v>
      </c>
      <c r="C42" s="394" t="s">
        <v>825</v>
      </c>
      <c r="D42" s="392">
        <f t="shared" si="0"/>
        <v>0.02</v>
      </c>
      <c r="E42" s="392">
        <f t="shared" si="1"/>
        <v>0.02</v>
      </c>
      <c r="F42" s="399">
        <v>0.02</v>
      </c>
      <c r="G42" s="399">
        <v>0.02</v>
      </c>
      <c r="H42" s="399">
        <v>0.02</v>
      </c>
      <c r="I42" s="399">
        <v>0.02</v>
      </c>
      <c r="J42" s="399">
        <v>0.02</v>
      </c>
      <c r="K42" s="399">
        <v>0.02</v>
      </c>
      <c r="L42" s="399">
        <v>0.02</v>
      </c>
      <c r="M42" s="399">
        <v>0.02</v>
      </c>
      <c r="N42" s="399">
        <v>0.02</v>
      </c>
      <c r="O42" s="399">
        <v>0.02</v>
      </c>
      <c r="P42" s="399">
        <v>0.02</v>
      </c>
      <c r="Q42" s="399">
        <v>0.02</v>
      </c>
      <c r="R42" s="399">
        <v>0.02</v>
      </c>
      <c r="S42" s="399">
        <v>0.02</v>
      </c>
      <c r="T42" s="399">
        <v>0.02</v>
      </c>
      <c r="U42" s="399">
        <v>0.02</v>
      </c>
      <c r="V42" s="402">
        <v>5</v>
      </c>
      <c r="W42" s="391" t="s">
        <v>812</v>
      </c>
      <c r="X42" s="391"/>
      <c r="Y42" s="395"/>
      <c r="Z42" s="395"/>
      <c r="AA42" s="387">
        <f t="shared" si="3"/>
        <v>1980</v>
      </c>
    </row>
    <row r="43" spans="1:27" x14ac:dyDescent="0.2">
      <c r="A43" s="391">
        <f t="shared" si="2"/>
        <v>41</v>
      </c>
      <c r="B43" s="396">
        <v>132</v>
      </c>
      <c r="C43" s="394" t="s">
        <v>952</v>
      </c>
      <c r="D43" s="392">
        <f t="shared" si="0"/>
        <v>0.01</v>
      </c>
      <c r="E43" s="392">
        <f t="shared" si="1"/>
        <v>0.01</v>
      </c>
      <c r="F43" s="399">
        <v>0</v>
      </c>
      <c r="G43" s="399">
        <v>0.01</v>
      </c>
      <c r="H43" s="399">
        <v>0.01</v>
      </c>
      <c r="I43" s="399">
        <v>0.01</v>
      </c>
      <c r="J43" s="399">
        <v>0.01</v>
      </c>
      <c r="K43" s="399">
        <v>0.01</v>
      </c>
      <c r="L43" s="399">
        <v>0.01</v>
      </c>
      <c r="M43" s="399">
        <v>0.01</v>
      </c>
      <c r="N43" s="399">
        <v>0.01</v>
      </c>
      <c r="O43" s="399">
        <v>0.01</v>
      </c>
      <c r="P43" s="399">
        <v>0.01</v>
      </c>
      <c r="Q43" s="399">
        <v>0.01</v>
      </c>
      <c r="R43" s="399">
        <v>0.01</v>
      </c>
      <c r="S43" s="399">
        <v>0.01</v>
      </c>
      <c r="T43" s="399">
        <v>0.01</v>
      </c>
      <c r="U43" s="399">
        <v>0.01</v>
      </c>
      <c r="V43" s="402">
        <v>5</v>
      </c>
      <c r="W43" s="391" t="s">
        <v>812</v>
      </c>
      <c r="X43" s="391"/>
      <c r="Y43" s="395"/>
      <c r="Z43" s="395"/>
      <c r="AA43" s="387">
        <f t="shared" si="3"/>
        <v>2004</v>
      </c>
    </row>
    <row r="44" spans="1:27" s="773" customFormat="1" x14ac:dyDescent="0.2">
      <c r="A44" s="764">
        <f t="shared" si="2"/>
        <v>42</v>
      </c>
      <c r="B44" s="774">
        <v>136</v>
      </c>
      <c r="C44" s="775" t="s">
        <v>1655</v>
      </c>
      <c r="D44" s="767">
        <f t="shared" si="0"/>
        <v>0</v>
      </c>
      <c r="E44" s="767">
        <f t="shared" si="1"/>
        <v>0.02</v>
      </c>
      <c r="F44" s="767">
        <v>0</v>
      </c>
      <c r="G44" s="767">
        <v>0</v>
      </c>
      <c r="H44" s="767">
        <v>0</v>
      </c>
      <c r="I44" s="767">
        <v>0</v>
      </c>
      <c r="J44" s="767">
        <v>0</v>
      </c>
      <c r="K44" s="767">
        <v>0</v>
      </c>
      <c r="L44" s="767">
        <v>0</v>
      </c>
      <c r="M44" s="767">
        <v>0</v>
      </c>
      <c r="N44" s="767">
        <v>0</v>
      </c>
      <c r="O44" s="767">
        <v>0</v>
      </c>
      <c r="P44" s="767">
        <v>0</v>
      </c>
      <c r="Q44" s="767">
        <v>0</v>
      </c>
      <c r="R44" s="767">
        <v>0</v>
      </c>
      <c r="S44" s="767">
        <v>0</v>
      </c>
      <c r="T44" s="767">
        <v>0</v>
      </c>
      <c r="U44" s="767">
        <v>0.02</v>
      </c>
      <c r="V44" s="764">
        <v>0</v>
      </c>
      <c r="W44" s="764" t="s">
        <v>687</v>
      </c>
      <c r="X44" s="764"/>
      <c r="Y44" s="776"/>
      <c r="Z44" s="776"/>
      <c r="AA44" s="772">
        <f t="shared" si="3"/>
        <v>2018</v>
      </c>
    </row>
    <row r="45" spans="1:27" x14ac:dyDescent="0.2">
      <c r="A45" s="391">
        <f t="shared" si="2"/>
        <v>43</v>
      </c>
      <c r="B45" s="396">
        <v>137</v>
      </c>
      <c r="C45" s="397" t="s">
        <v>1468</v>
      </c>
      <c r="D45" s="392">
        <f t="shared" si="0"/>
        <v>1.2500000000000001E-2</v>
      </c>
      <c r="E45" s="392">
        <f t="shared" si="1"/>
        <v>1.2500000000000001E-2</v>
      </c>
      <c r="F45" s="399">
        <v>2.5000000000000001E-3</v>
      </c>
      <c r="G45" s="399">
        <v>2.5000000000000001E-3</v>
      </c>
      <c r="H45" s="399">
        <v>5.0000000000000001E-3</v>
      </c>
      <c r="I45" s="399">
        <v>5.0000000000000001E-3</v>
      </c>
      <c r="J45" s="399">
        <v>5.0000000000000001E-3</v>
      </c>
      <c r="K45" s="399">
        <v>7.4999999999999997E-3</v>
      </c>
      <c r="L45" s="399">
        <v>7.4999999999999997E-3</v>
      </c>
      <c r="M45" s="399">
        <v>7.4999999999999997E-3</v>
      </c>
      <c r="N45" s="399">
        <v>0.01</v>
      </c>
      <c r="O45" s="399">
        <v>0.01</v>
      </c>
      <c r="P45" s="399">
        <v>0.01</v>
      </c>
      <c r="Q45" s="399">
        <v>1.2500000000000001E-2</v>
      </c>
      <c r="R45" s="399">
        <v>1.2500000000000001E-2</v>
      </c>
      <c r="S45" s="399">
        <v>1.2500000000000001E-2</v>
      </c>
      <c r="T45" s="399">
        <v>1.2500000000000001E-2</v>
      </c>
      <c r="U45" s="399">
        <v>1.2500000000000001E-2</v>
      </c>
      <c r="V45" s="402">
        <v>0</v>
      </c>
      <c r="W45" s="391" t="s">
        <v>687</v>
      </c>
      <c r="X45" s="391"/>
      <c r="Y45" s="395"/>
      <c r="Z45" s="395"/>
      <c r="AA45" s="387">
        <f t="shared" si="3"/>
        <v>1980</v>
      </c>
    </row>
    <row r="46" spans="1:27" x14ac:dyDescent="0.2">
      <c r="A46" s="391">
        <f t="shared" si="2"/>
        <v>44</v>
      </c>
      <c r="B46" s="396">
        <v>140</v>
      </c>
      <c r="C46" s="394" t="s">
        <v>826</v>
      </c>
      <c r="D46" s="392">
        <f t="shared" si="0"/>
        <v>0.02</v>
      </c>
      <c r="E46" s="392">
        <f t="shared" si="1"/>
        <v>0.02</v>
      </c>
      <c r="F46" s="399">
        <v>0.02</v>
      </c>
      <c r="G46" s="399">
        <v>0.02</v>
      </c>
      <c r="H46" s="399">
        <v>0.02</v>
      </c>
      <c r="I46" s="399">
        <v>0.02</v>
      </c>
      <c r="J46" s="399">
        <v>0.02</v>
      </c>
      <c r="K46" s="399">
        <v>0.02</v>
      </c>
      <c r="L46" s="399">
        <v>0.02</v>
      </c>
      <c r="M46" s="399">
        <v>0.02</v>
      </c>
      <c r="N46" s="399">
        <v>0.02</v>
      </c>
      <c r="O46" s="399">
        <v>0.02</v>
      </c>
      <c r="P46" s="399">
        <v>0.02</v>
      </c>
      <c r="Q46" s="399">
        <v>0.02</v>
      </c>
      <c r="R46" s="399">
        <v>0.02</v>
      </c>
      <c r="S46" s="399">
        <v>0.02</v>
      </c>
      <c r="T46" s="399">
        <v>0.02</v>
      </c>
      <c r="U46" s="399">
        <v>0.02</v>
      </c>
      <c r="V46" s="402">
        <v>5</v>
      </c>
      <c r="W46" s="391" t="s">
        <v>812</v>
      </c>
      <c r="X46" s="391"/>
      <c r="Y46" s="395"/>
      <c r="Z46" s="395"/>
      <c r="AA46" s="387">
        <f t="shared" si="3"/>
        <v>1980</v>
      </c>
    </row>
    <row r="47" spans="1:27" x14ac:dyDescent="0.2">
      <c r="A47" s="391">
        <f t="shared" si="2"/>
        <v>45</v>
      </c>
      <c r="B47" s="396">
        <v>150</v>
      </c>
      <c r="C47" s="394" t="s">
        <v>1308</v>
      </c>
      <c r="D47" s="392">
        <f t="shared" si="0"/>
        <v>2.5000000000000001E-2</v>
      </c>
      <c r="E47" s="392">
        <f t="shared" si="1"/>
        <v>2.5000000000000001E-2</v>
      </c>
      <c r="F47" s="399">
        <v>0.02</v>
      </c>
      <c r="G47" s="399">
        <v>0.02</v>
      </c>
      <c r="H47" s="399">
        <v>0.02</v>
      </c>
      <c r="I47" s="399">
        <v>0.02</v>
      </c>
      <c r="J47" s="399">
        <v>0.02</v>
      </c>
      <c r="K47" s="399">
        <v>2.5000000000000001E-2</v>
      </c>
      <c r="L47" s="399">
        <v>2.5000000000000001E-2</v>
      </c>
      <c r="M47" s="399">
        <v>2.5000000000000001E-2</v>
      </c>
      <c r="N47" s="399">
        <v>2.5000000000000001E-2</v>
      </c>
      <c r="O47" s="399">
        <v>2.5000000000000001E-2</v>
      </c>
      <c r="P47" s="399">
        <v>2.5000000000000001E-2</v>
      </c>
      <c r="Q47" s="399">
        <v>2.5000000000000001E-2</v>
      </c>
      <c r="R47" s="399">
        <v>2.5000000000000001E-2</v>
      </c>
      <c r="S47" s="399">
        <v>2.5000000000000001E-2</v>
      </c>
      <c r="T47" s="399">
        <v>2.5000000000000001E-2</v>
      </c>
      <c r="U47" s="399">
        <v>2.5000000000000001E-2</v>
      </c>
      <c r="V47" s="402">
        <v>5</v>
      </c>
      <c r="W47" s="391" t="s">
        <v>812</v>
      </c>
      <c r="X47" s="620"/>
      <c r="Y47" s="395"/>
      <c r="Z47" s="395"/>
      <c r="AA47" s="387">
        <f t="shared" si="3"/>
        <v>1980</v>
      </c>
    </row>
    <row r="48" spans="1:27" x14ac:dyDescent="0.2">
      <c r="A48" s="391">
        <f t="shared" si="2"/>
        <v>46</v>
      </c>
      <c r="B48" s="396">
        <v>160</v>
      </c>
      <c r="C48" s="394" t="s">
        <v>827</v>
      </c>
      <c r="D48" s="392">
        <f t="shared" si="0"/>
        <v>2.2499999999999999E-2</v>
      </c>
      <c r="E48" s="392">
        <f t="shared" si="1"/>
        <v>2.5000000000000001E-2</v>
      </c>
      <c r="F48" s="399">
        <v>0.02</v>
      </c>
      <c r="G48" s="399">
        <v>0.02</v>
      </c>
      <c r="H48" s="399">
        <v>0.02</v>
      </c>
      <c r="I48" s="399">
        <v>0.02</v>
      </c>
      <c r="J48" s="399">
        <v>0.02</v>
      </c>
      <c r="K48" s="399">
        <v>0.02</v>
      </c>
      <c r="L48" s="399">
        <v>0.02</v>
      </c>
      <c r="M48" s="399">
        <v>0.02</v>
      </c>
      <c r="N48" s="399">
        <v>0.02</v>
      </c>
      <c r="O48" s="399">
        <v>0.02</v>
      </c>
      <c r="P48" s="399">
        <v>0.02</v>
      </c>
      <c r="Q48" s="399">
        <v>0.02</v>
      </c>
      <c r="R48" s="399">
        <v>0.02</v>
      </c>
      <c r="S48" s="399">
        <v>0.02</v>
      </c>
      <c r="T48" s="399">
        <v>2.2499999999999999E-2</v>
      </c>
      <c r="U48" s="399">
        <v>2.5000000000000001E-2</v>
      </c>
      <c r="V48" s="402">
        <v>5</v>
      </c>
      <c r="W48" s="391" t="s">
        <v>812</v>
      </c>
      <c r="X48" s="619" t="s">
        <v>1654</v>
      </c>
      <c r="Y48" s="395"/>
      <c r="Z48" s="395"/>
      <c r="AA48" s="387">
        <f t="shared" si="3"/>
        <v>1980</v>
      </c>
    </row>
    <row r="49" spans="1:27" x14ac:dyDescent="0.2">
      <c r="A49" s="391">
        <f t="shared" si="2"/>
        <v>47</v>
      </c>
      <c r="B49" s="396">
        <v>154</v>
      </c>
      <c r="C49" s="397" t="s">
        <v>493</v>
      </c>
      <c r="D49" s="392">
        <f t="shared" si="0"/>
        <v>0.01</v>
      </c>
      <c r="E49" s="392">
        <f t="shared" si="1"/>
        <v>0.01</v>
      </c>
      <c r="F49" s="510">
        <v>0</v>
      </c>
      <c r="G49" s="510">
        <v>0</v>
      </c>
      <c r="H49" s="510">
        <v>0</v>
      </c>
      <c r="I49" s="510">
        <v>0</v>
      </c>
      <c r="J49" s="510">
        <v>0</v>
      </c>
      <c r="K49" s="510">
        <v>0</v>
      </c>
      <c r="L49" s="510">
        <v>0</v>
      </c>
      <c r="M49" s="510">
        <v>0</v>
      </c>
      <c r="N49" s="510">
        <v>0</v>
      </c>
      <c r="O49" s="510">
        <v>5.0000000000000001E-3</v>
      </c>
      <c r="P49" s="510">
        <v>0.01</v>
      </c>
      <c r="Q49" s="510">
        <v>0.01</v>
      </c>
      <c r="R49" s="510">
        <v>0.01</v>
      </c>
      <c r="S49" s="510">
        <v>0.01</v>
      </c>
      <c r="T49" s="510">
        <v>0.01</v>
      </c>
      <c r="U49" s="510">
        <v>0.01</v>
      </c>
      <c r="V49" s="402">
        <v>5</v>
      </c>
      <c r="W49" s="402" t="s">
        <v>812</v>
      </c>
      <c r="X49" s="620" t="s">
        <v>1480</v>
      </c>
      <c r="Y49" s="395"/>
      <c r="Z49" s="395"/>
      <c r="AA49" s="387">
        <f t="shared" si="3"/>
        <v>2012</v>
      </c>
    </row>
    <row r="50" spans="1:27" x14ac:dyDescent="0.2">
      <c r="A50" s="391">
        <f t="shared" si="2"/>
        <v>48</v>
      </c>
      <c r="B50" s="396">
        <v>162</v>
      </c>
      <c r="C50" s="394" t="s">
        <v>1365</v>
      </c>
      <c r="D50" s="392">
        <f t="shared" si="0"/>
        <v>5.0000000000000001E-3</v>
      </c>
      <c r="E50" s="392">
        <f t="shared" si="1"/>
        <v>5.0000000000000001E-3</v>
      </c>
      <c r="F50" s="510">
        <v>0</v>
      </c>
      <c r="G50" s="510">
        <v>0</v>
      </c>
      <c r="H50" s="510">
        <v>0.01</v>
      </c>
      <c r="I50" s="510">
        <v>5.0000000000000001E-3</v>
      </c>
      <c r="J50" s="510">
        <v>5.0000000000000001E-3</v>
      </c>
      <c r="K50" s="510">
        <v>5.0000000000000001E-3</v>
      </c>
      <c r="L50" s="510">
        <v>5.0000000000000001E-3</v>
      </c>
      <c r="M50" s="510">
        <v>5.0000000000000001E-3</v>
      </c>
      <c r="N50" s="510">
        <v>5.0000000000000001E-3</v>
      </c>
      <c r="O50" s="510">
        <v>5.0000000000000001E-3</v>
      </c>
      <c r="P50" s="510">
        <v>5.0000000000000001E-3</v>
      </c>
      <c r="Q50" s="510">
        <v>5.0000000000000001E-3</v>
      </c>
      <c r="R50" s="510">
        <v>5.0000000000000001E-3</v>
      </c>
      <c r="S50" s="510">
        <v>5.0000000000000001E-3</v>
      </c>
      <c r="T50" s="510">
        <v>5.0000000000000001E-3</v>
      </c>
      <c r="U50" s="510">
        <v>5.0000000000000001E-3</v>
      </c>
      <c r="V50" s="402">
        <v>5</v>
      </c>
      <c r="W50" s="391" t="s">
        <v>812</v>
      </c>
      <c r="X50" s="391"/>
      <c r="Y50" s="395"/>
      <c r="Z50" s="395"/>
      <c r="AA50" s="387">
        <f t="shared" si="3"/>
        <v>2005</v>
      </c>
    </row>
    <row r="51" spans="1:27" x14ac:dyDescent="0.2">
      <c r="A51" s="391">
        <f t="shared" si="2"/>
        <v>49</v>
      </c>
      <c r="B51" s="396">
        <v>232</v>
      </c>
      <c r="C51" s="397" t="s">
        <v>767</v>
      </c>
      <c r="D51" s="392">
        <f t="shared" si="0"/>
        <v>0.01</v>
      </c>
      <c r="E51" s="392">
        <f t="shared" si="1"/>
        <v>0.01</v>
      </c>
      <c r="F51" s="510">
        <v>0</v>
      </c>
      <c r="G51" s="510">
        <v>0</v>
      </c>
      <c r="H51" s="510">
        <v>0</v>
      </c>
      <c r="I51" s="510">
        <v>0</v>
      </c>
      <c r="J51" s="510">
        <v>0</v>
      </c>
      <c r="K51" s="510">
        <v>0</v>
      </c>
      <c r="L51" s="510">
        <v>0</v>
      </c>
      <c r="M51" s="510">
        <v>0</v>
      </c>
      <c r="N51" s="510">
        <v>0</v>
      </c>
      <c r="O51" s="510">
        <v>0</v>
      </c>
      <c r="P51" s="510">
        <v>0.01</v>
      </c>
      <c r="Q51" s="510">
        <v>0.01</v>
      </c>
      <c r="R51" s="510">
        <v>0.01</v>
      </c>
      <c r="S51" s="510">
        <v>0.01</v>
      </c>
      <c r="T51" s="510">
        <v>0.01</v>
      </c>
      <c r="U51" s="510">
        <v>0.01</v>
      </c>
      <c r="V51" s="402">
        <v>5</v>
      </c>
      <c r="W51" s="402" t="s">
        <v>812</v>
      </c>
      <c r="X51" s="391"/>
      <c r="Y51" s="395"/>
      <c r="Z51" s="395"/>
      <c r="AA51" s="387">
        <f t="shared" si="3"/>
        <v>2013</v>
      </c>
    </row>
    <row r="52" spans="1:27" x14ac:dyDescent="0.2">
      <c r="A52" s="391">
        <f t="shared" si="2"/>
        <v>50</v>
      </c>
      <c r="B52" s="396">
        <v>167</v>
      </c>
      <c r="C52" s="394" t="s">
        <v>828</v>
      </c>
      <c r="D52" s="392">
        <f t="shared" si="0"/>
        <v>2.5000000000000001E-2</v>
      </c>
      <c r="E52" s="392">
        <f t="shared" si="1"/>
        <v>2.5000000000000001E-2</v>
      </c>
      <c r="F52" s="399">
        <v>0.02</v>
      </c>
      <c r="G52" s="399">
        <v>2.5000000000000001E-2</v>
      </c>
      <c r="H52" s="399">
        <v>2.5000000000000001E-2</v>
      </c>
      <c r="I52" s="399">
        <v>2.5000000000000001E-2</v>
      </c>
      <c r="J52" s="399">
        <v>2.5000000000000001E-2</v>
      </c>
      <c r="K52" s="399">
        <v>2.5000000000000001E-2</v>
      </c>
      <c r="L52" s="399">
        <v>2.5000000000000001E-2</v>
      </c>
      <c r="M52" s="399">
        <v>2.5000000000000001E-2</v>
      </c>
      <c r="N52" s="399">
        <v>2.5000000000000001E-2</v>
      </c>
      <c r="O52" s="399">
        <v>2.5000000000000001E-2</v>
      </c>
      <c r="P52" s="399">
        <v>2.5000000000000001E-2</v>
      </c>
      <c r="Q52" s="399">
        <v>2.5000000000000001E-2</v>
      </c>
      <c r="R52" s="399">
        <v>2.5000000000000001E-2</v>
      </c>
      <c r="S52" s="399">
        <v>2.5000000000000001E-2</v>
      </c>
      <c r="T52" s="399">
        <v>2.5000000000000001E-2</v>
      </c>
      <c r="U52" s="399">
        <v>2.5000000000000001E-2</v>
      </c>
      <c r="V52" s="402">
        <v>5</v>
      </c>
      <c r="W52" s="391" t="s">
        <v>812</v>
      </c>
      <c r="X52" s="391"/>
      <c r="Y52" s="395"/>
      <c r="Z52" s="395"/>
      <c r="AA52" s="387">
        <f t="shared" si="3"/>
        <v>1980</v>
      </c>
    </row>
    <row r="53" spans="1:27" s="773" customFormat="1" x14ac:dyDescent="0.2">
      <c r="A53" s="764">
        <f t="shared" si="2"/>
        <v>51</v>
      </c>
      <c r="B53" s="774">
        <v>175</v>
      </c>
      <c r="C53" s="775" t="s">
        <v>1656</v>
      </c>
      <c r="D53" s="767">
        <f t="shared" si="0"/>
        <v>0</v>
      </c>
      <c r="E53" s="767">
        <f t="shared" si="1"/>
        <v>0.02</v>
      </c>
      <c r="F53" s="767">
        <v>0</v>
      </c>
      <c r="G53" s="767">
        <v>0</v>
      </c>
      <c r="H53" s="767">
        <v>0</v>
      </c>
      <c r="I53" s="767">
        <v>0</v>
      </c>
      <c r="J53" s="767">
        <v>0</v>
      </c>
      <c r="K53" s="767">
        <v>0</v>
      </c>
      <c r="L53" s="767">
        <v>0</v>
      </c>
      <c r="M53" s="767">
        <v>0</v>
      </c>
      <c r="N53" s="767">
        <v>0</v>
      </c>
      <c r="O53" s="767">
        <v>0</v>
      </c>
      <c r="P53" s="767">
        <v>0</v>
      </c>
      <c r="Q53" s="767">
        <v>0</v>
      </c>
      <c r="R53" s="767">
        <v>0</v>
      </c>
      <c r="S53" s="767">
        <v>0</v>
      </c>
      <c r="T53" s="767">
        <v>0</v>
      </c>
      <c r="U53" s="767">
        <v>0.02</v>
      </c>
      <c r="V53" s="764">
        <v>0</v>
      </c>
      <c r="W53" s="764" t="s">
        <v>687</v>
      </c>
      <c r="X53" s="764"/>
      <c r="Y53" s="776"/>
      <c r="Z53" s="776"/>
      <c r="AA53" s="772">
        <f t="shared" si="3"/>
        <v>2018</v>
      </c>
    </row>
    <row r="54" spans="1:27" x14ac:dyDescent="0.2">
      <c r="A54" s="391">
        <f t="shared" si="2"/>
        <v>52</v>
      </c>
      <c r="B54" s="396">
        <v>168</v>
      </c>
      <c r="C54" s="394" t="s">
        <v>829</v>
      </c>
      <c r="D54" s="392">
        <f t="shared" si="0"/>
        <v>0.01</v>
      </c>
      <c r="E54" s="392">
        <f t="shared" si="1"/>
        <v>0.01</v>
      </c>
      <c r="F54" s="399">
        <v>0.01</v>
      </c>
      <c r="G54" s="399">
        <v>0.01</v>
      </c>
      <c r="H54" s="399">
        <v>0.01</v>
      </c>
      <c r="I54" s="399">
        <v>0.01</v>
      </c>
      <c r="J54" s="399">
        <v>0.01</v>
      </c>
      <c r="K54" s="399">
        <v>0.01</v>
      </c>
      <c r="L54" s="399">
        <v>0.01</v>
      </c>
      <c r="M54" s="399">
        <v>0.01</v>
      </c>
      <c r="N54" s="399">
        <v>0.01</v>
      </c>
      <c r="O54" s="399">
        <v>0.01</v>
      </c>
      <c r="P54" s="399">
        <v>0.01</v>
      </c>
      <c r="Q54" s="399">
        <v>0.01</v>
      </c>
      <c r="R54" s="399">
        <v>0.01</v>
      </c>
      <c r="S54" s="399">
        <v>0.01</v>
      </c>
      <c r="T54" s="399">
        <v>0.01</v>
      </c>
      <c r="U54" s="399">
        <v>0.01</v>
      </c>
      <c r="V54" s="402">
        <v>5</v>
      </c>
      <c r="W54" s="391" t="s">
        <v>812</v>
      </c>
      <c r="X54" s="391"/>
      <c r="Y54" s="395"/>
      <c r="Z54" s="395"/>
      <c r="AA54" s="387">
        <f t="shared" si="3"/>
        <v>1980</v>
      </c>
    </row>
    <row r="55" spans="1:27" x14ac:dyDescent="0.2">
      <c r="A55" s="391">
        <f t="shared" si="2"/>
        <v>53</v>
      </c>
      <c r="B55" s="396">
        <v>202</v>
      </c>
      <c r="C55" s="394" t="s">
        <v>953</v>
      </c>
      <c r="D55" s="392">
        <f t="shared" si="0"/>
        <v>7.4999999999999997E-3</v>
      </c>
      <c r="E55" s="392">
        <f t="shared" si="1"/>
        <v>7.4999999999999997E-3</v>
      </c>
      <c r="F55" s="399">
        <v>0</v>
      </c>
      <c r="G55" s="399">
        <v>7.4999999999999997E-3</v>
      </c>
      <c r="H55" s="399">
        <v>7.4999999999999997E-3</v>
      </c>
      <c r="I55" s="399">
        <v>7.4999999999999997E-3</v>
      </c>
      <c r="J55" s="399">
        <v>7.4999999999999997E-3</v>
      </c>
      <c r="K55" s="399">
        <v>7.4999999999999997E-3</v>
      </c>
      <c r="L55" s="399">
        <v>7.4999999999999997E-3</v>
      </c>
      <c r="M55" s="399">
        <v>7.4999999999999997E-3</v>
      </c>
      <c r="N55" s="399">
        <v>7.4999999999999997E-3</v>
      </c>
      <c r="O55" s="399">
        <v>7.4999999999999997E-3</v>
      </c>
      <c r="P55" s="399">
        <v>7.4999999999999997E-3</v>
      </c>
      <c r="Q55" s="399">
        <v>7.4999999999999997E-3</v>
      </c>
      <c r="R55" s="399">
        <v>7.4999999999999997E-3</v>
      </c>
      <c r="S55" s="399">
        <v>7.4999999999999997E-3</v>
      </c>
      <c r="T55" s="399">
        <v>7.4999999999999997E-3</v>
      </c>
      <c r="U55" s="399">
        <v>7.4999999999999997E-3</v>
      </c>
      <c r="V55" s="402">
        <v>5</v>
      </c>
      <c r="W55" s="391" t="s">
        <v>812</v>
      </c>
      <c r="X55" s="391"/>
      <c r="Y55" s="395"/>
      <c r="Z55" s="395"/>
      <c r="AA55" s="387">
        <f t="shared" ref="AA55" si="5">_xlfn.IFNA(MATCH(0,F55:U55,1),-23) + F$2 -1</f>
        <v>2004</v>
      </c>
    </row>
    <row r="56" spans="1:27" s="773" customFormat="1" x14ac:dyDescent="0.2">
      <c r="A56" s="764">
        <f t="shared" si="2"/>
        <v>54</v>
      </c>
      <c r="B56" s="774">
        <v>203</v>
      </c>
      <c r="C56" s="775" t="s">
        <v>1771</v>
      </c>
      <c r="D56" s="767">
        <f t="shared" si="0"/>
        <v>0.01</v>
      </c>
      <c r="E56" s="767">
        <f t="shared" si="1"/>
        <v>0.01</v>
      </c>
      <c r="F56" s="767">
        <v>0</v>
      </c>
      <c r="G56" s="767">
        <v>0.01</v>
      </c>
      <c r="H56" s="767">
        <v>0.01</v>
      </c>
      <c r="I56" s="767">
        <v>0.01</v>
      </c>
      <c r="J56" s="767">
        <v>0.01</v>
      </c>
      <c r="K56" s="767">
        <v>0.01</v>
      </c>
      <c r="L56" s="767">
        <v>0.01</v>
      </c>
      <c r="M56" s="767">
        <v>0.01</v>
      </c>
      <c r="N56" s="767">
        <v>0.01</v>
      </c>
      <c r="O56" s="767">
        <v>0.01</v>
      </c>
      <c r="P56" s="767">
        <v>0.01</v>
      </c>
      <c r="Q56" s="767">
        <v>0.01</v>
      </c>
      <c r="R56" s="767">
        <v>0.01</v>
      </c>
      <c r="S56" s="767">
        <v>0.01</v>
      </c>
      <c r="T56" s="767">
        <v>0.01</v>
      </c>
      <c r="U56" s="767">
        <v>0.01</v>
      </c>
      <c r="V56" s="764">
        <v>0</v>
      </c>
      <c r="W56" s="764" t="s">
        <v>687</v>
      </c>
      <c r="X56" s="764"/>
      <c r="Y56" s="776"/>
      <c r="Z56" s="776"/>
      <c r="AA56" s="772">
        <f t="shared" si="3"/>
        <v>2004</v>
      </c>
    </row>
    <row r="57" spans="1:27" x14ac:dyDescent="0.2">
      <c r="A57" s="391">
        <f t="shared" si="2"/>
        <v>55</v>
      </c>
      <c r="B57" s="396">
        <v>204</v>
      </c>
      <c r="C57" s="397" t="s">
        <v>494</v>
      </c>
      <c r="D57" s="392">
        <f t="shared" si="0"/>
        <v>0.01</v>
      </c>
      <c r="E57" s="392">
        <f t="shared" si="1"/>
        <v>0.01</v>
      </c>
      <c r="F57" s="399">
        <v>0</v>
      </c>
      <c r="G57" s="399">
        <v>0.01</v>
      </c>
      <c r="H57" s="399">
        <v>0.01</v>
      </c>
      <c r="I57" s="399">
        <v>0.01</v>
      </c>
      <c r="J57" s="399">
        <v>0.01</v>
      </c>
      <c r="K57" s="399">
        <v>0.01</v>
      </c>
      <c r="L57" s="399">
        <v>0.01</v>
      </c>
      <c r="M57" s="399">
        <v>0.01</v>
      </c>
      <c r="N57" s="399">
        <v>0.01</v>
      </c>
      <c r="O57" s="399">
        <v>0.01</v>
      </c>
      <c r="P57" s="399">
        <v>0.01</v>
      </c>
      <c r="Q57" s="399">
        <v>0.01</v>
      </c>
      <c r="R57" s="399">
        <v>0.01</v>
      </c>
      <c r="S57" s="399">
        <v>0.01</v>
      </c>
      <c r="T57" s="399">
        <v>0.01</v>
      </c>
      <c r="U57" s="399">
        <v>0.01</v>
      </c>
      <c r="V57" s="402">
        <v>5</v>
      </c>
      <c r="W57" s="402" t="s">
        <v>812</v>
      </c>
      <c r="X57" s="391"/>
      <c r="Y57" s="395"/>
      <c r="Z57" s="395"/>
      <c r="AA57" s="387">
        <f t="shared" si="3"/>
        <v>2004</v>
      </c>
    </row>
    <row r="58" spans="1:27" x14ac:dyDescent="0.2">
      <c r="A58" s="391">
        <f t="shared" si="2"/>
        <v>56</v>
      </c>
      <c r="B58" s="396">
        <v>195</v>
      </c>
      <c r="C58" s="394" t="s">
        <v>830</v>
      </c>
      <c r="D58" s="392">
        <f t="shared" si="0"/>
        <v>0.01</v>
      </c>
      <c r="E58" s="392">
        <f t="shared" si="1"/>
        <v>0.01</v>
      </c>
      <c r="F58" s="399">
        <v>0.01</v>
      </c>
      <c r="G58" s="399">
        <v>0.01</v>
      </c>
      <c r="H58" s="399">
        <v>0.01</v>
      </c>
      <c r="I58" s="399">
        <v>0.01</v>
      </c>
      <c r="J58" s="399">
        <v>0.01</v>
      </c>
      <c r="K58" s="399">
        <v>0.01</v>
      </c>
      <c r="L58" s="399">
        <v>0.01</v>
      </c>
      <c r="M58" s="399">
        <v>0.01</v>
      </c>
      <c r="N58" s="399">
        <v>0.01</v>
      </c>
      <c r="O58" s="399">
        <v>0.01</v>
      </c>
      <c r="P58" s="399">
        <v>0.01</v>
      </c>
      <c r="Q58" s="399">
        <v>0.01</v>
      </c>
      <c r="R58" s="399">
        <v>0.01</v>
      </c>
      <c r="S58" s="399">
        <v>0.01</v>
      </c>
      <c r="T58" s="399">
        <v>0.01</v>
      </c>
      <c r="U58" s="399">
        <v>0.01</v>
      </c>
      <c r="V58" s="402">
        <v>5</v>
      </c>
      <c r="W58" s="391" t="s">
        <v>812</v>
      </c>
      <c r="X58" s="391"/>
      <c r="Y58" s="395"/>
      <c r="Z58" s="395"/>
      <c r="AA58" s="387">
        <f t="shared" si="3"/>
        <v>1980</v>
      </c>
    </row>
    <row r="59" spans="1:27" x14ac:dyDescent="0.2">
      <c r="A59" s="391">
        <f t="shared" si="2"/>
        <v>57</v>
      </c>
      <c r="B59" s="396">
        <v>192</v>
      </c>
      <c r="C59" s="397" t="s">
        <v>831</v>
      </c>
      <c r="D59" s="392">
        <f t="shared" si="0"/>
        <v>1.2500000000000001E-2</v>
      </c>
      <c r="E59" s="392">
        <f t="shared" si="1"/>
        <v>1.2500000000000001E-2</v>
      </c>
      <c r="F59" s="399">
        <v>0.01</v>
      </c>
      <c r="G59" s="399">
        <v>0.01</v>
      </c>
      <c r="H59" s="399">
        <v>0.01</v>
      </c>
      <c r="I59" s="399">
        <v>0.01</v>
      </c>
      <c r="J59" s="399">
        <v>0.01</v>
      </c>
      <c r="K59" s="399">
        <v>0.01</v>
      </c>
      <c r="L59" s="399">
        <v>0.01</v>
      </c>
      <c r="M59" s="399">
        <v>0.01</v>
      </c>
      <c r="N59" s="399">
        <v>0.01</v>
      </c>
      <c r="O59" s="399">
        <v>0.01</v>
      </c>
      <c r="P59" s="399">
        <v>0.01</v>
      </c>
      <c r="Q59" s="399">
        <v>1.125E-2</v>
      </c>
      <c r="R59" s="399">
        <v>1.2500000000000001E-2</v>
      </c>
      <c r="S59" s="399">
        <v>1.2500000000000001E-2</v>
      </c>
      <c r="T59" s="399">
        <v>1.2500000000000001E-2</v>
      </c>
      <c r="U59" s="399">
        <v>1.2500000000000001E-2</v>
      </c>
      <c r="V59" s="402">
        <v>5</v>
      </c>
      <c r="W59" s="391" t="s">
        <v>812</v>
      </c>
      <c r="X59" s="620" t="s">
        <v>1489</v>
      </c>
      <c r="Y59" s="395"/>
      <c r="Z59" s="395"/>
      <c r="AA59" s="387">
        <f t="shared" si="3"/>
        <v>1980</v>
      </c>
    </row>
    <row r="60" spans="1:27" x14ac:dyDescent="0.2">
      <c r="A60" s="391">
        <f t="shared" si="2"/>
        <v>58</v>
      </c>
      <c r="B60" s="396">
        <v>194</v>
      </c>
      <c r="C60" s="394" t="s">
        <v>832</v>
      </c>
      <c r="D60" s="392">
        <f t="shared" si="0"/>
        <v>0.01</v>
      </c>
      <c r="E60" s="392">
        <f t="shared" si="1"/>
        <v>0.01</v>
      </c>
      <c r="F60" s="399">
        <v>0.01</v>
      </c>
      <c r="G60" s="399">
        <v>0.01</v>
      </c>
      <c r="H60" s="399">
        <v>0.01</v>
      </c>
      <c r="I60" s="399">
        <v>0.01</v>
      </c>
      <c r="J60" s="399">
        <v>0.01</v>
      </c>
      <c r="K60" s="399">
        <v>0.01</v>
      </c>
      <c r="L60" s="399">
        <v>0.01</v>
      </c>
      <c r="M60" s="399">
        <v>0.01</v>
      </c>
      <c r="N60" s="399">
        <v>0.01</v>
      </c>
      <c r="O60" s="399">
        <v>0.01</v>
      </c>
      <c r="P60" s="399">
        <v>0.01</v>
      </c>
      <c r="Q60" s="399">
        <v>0.01</v>
      </c>
      <c r="R60" s="399">
        <v>0.01</v>
      </c>
      <c r="S60" s="399">
        <v>0.01</v>
      </c>
      <c r="T60" s="399">
        <v>0.01</v>
      </c>
      <c r="U60" s="399">
        <v>0.01</v>
      </c>
      <c r="V60" s="402">
        <v>5</v>
      </c>
      <c r="W60" s="391" t="s">
        <v>812</v>
      </c>
      <c r="X60" s="391"/>
      <c r="Y60" s="395"/>
      <c r="Z60" s="395"/>
      <c r="AA60" s="387">
        <f t="shared" si="3"/>
        <v>1980</v>
      </c>
    </row>
    <row r="61" spans="1:27" x14ac:dyDescent="0.2">
      <c r="A61" s="391">
        <f t="shared" si="2"/>
        <v>59</v>
      </c>
      <c r="B61" s="396">
        <v>180</v>
      </c>
      <c r="C61" s="394" t="s">
        <v>833</v>
      </c>
      <c r="D61" s="392">
        <f t="shared" si="0"/>
        <v>1.8499999999999999E-2</v>
      </c>
      <c r="E61" s="392">
        <f t="shared" si="1"/>
        <v>1.8499999999999999E-2</v>
      </c>
      <c r="F61" s="399">
        <v>1.4999999999999999E-2</v>
      </c>
      <c r="G61" s="399">
        <v>1.4999999999999999E-2</v>
      </c>
      <c r="H61" s="399">
        <v>1.4999999999999999E-2</v>
      </c>
      <c r="I61" s="399">
        <v>1.4999999999999999E-2</v>
      </c>
      <c r="J61" s="399">
        <v>1.4999999999999999E-2</v>
      </c>
      <c r="K61" s="399">
        <v>1.4999999999999999E-2</v>
      </c>
      <c r="L61" s="399">
        <v>1.4999999999999999E-2</v>
      </c>
      <c r="M61" s="399">
        <v>1.4999999999999999E-2</v>
      </c>
      <c r="N61" s="399">
        <v>1.4999999999999999E-2</v>
      </c>
      <c r="O61" s="399">
        <v>1.4999999999999999E-2</v>
      </c>
      <c r="P61" s="399">
        <v>1.4999999999999999E-2</v>
      </c>
      <c r="Q61" s="399">
        <v>1.4999999999999999E-2</v>
      </c>
      <c r="R61" s="399">
        <v>1.4999999999999999E-2</v>
      </c>
      <c r="S61" s="399">
        <v>1.8499999999999999E-2</v>
      </c>
      <c r="T61" s="399">
        <v>1.8499999999999999E-2</v>
      </c>
      <c r="U61" s="399">
        <v>1.8499999999999999E-2</v>
      </c>
      <c r="V61" s="402">
        <v>5</v>
      </c>
      <c r="W61" s="391" t="s">
        <v>812</v>
      </c>
      <c r="X61" s="619" t="s">
        <v>1568</v>
      </c>
      <c r="Y61" s="395"/>
      <c r="Z61" s="395"/>
      <c r="AA61" s="387">
        <f t="shared" si="3"/>
        <v>1980</v>
      </c>
    </row>
    <row r="62" spans="1:27" x14ac:dyDescent="0.2">
      <c r="A62" s="391">
        <f t="shared" si="2"/>
        <v>60</v>
      </c>
      <c r="B62" s="396">
        <v>185</v>
      </c>
      <c r="C62" s="394" t="s">
        <v>1366</v>
      </c>
      <c r="D62" s="392">
        <f t="shared" si="0"/>
        <v>0.02</v>
      </c>
      <c r="E62" s="392">
        <f t="shared" si="1"/>
        <v>0.02</v>
      </c>
      <c r="F62" s="510">
        <v>0.01</v>
      </c>
      <c r="G62" s="510">
        <v>0.02</v>
      </c>
      <c r="H62" s="510">
        <v>0.02</v>
      </c>
      <c r="I62" s="510">
        <v>0.02</v>
      </c>
      <c r="J62" s="510">
        <v>0.02</v>
      </c>
      <c r="K62" s="510">
        <v>0.02</v>
      </c>
      <c r="L62" s="399">
        <v>0.02</v>
      </c>
      <c r="M62" s="399">
        <v>0.02</v>
      </c>
      <c r="N62" s="399">
        <v>0.02</v>
      </c>
      <c r="O62" s="399">
        <v>0.02</v>
      </c>
      <c r="P62" s="399">
        <v>0.02</v>
      </c>
      <c r="Q62" s="399">
        <v>0.02</v>
      </c>
      <c r="R62" s="399">
        <v>0.02</v>
      </c>
      <c r="S62" s="399">
        <v>0.02</v>
      </c>
      <c r="T62" s="399">
        <v>0.02</v>
      </c>
      <c r="U62" s="399">
        <v>0.02</v>
      </c>
      <c r="V62" s="402">
        <v>5</v>
      </c>
      <c r="W62" s="391" t="s">
        <v>812</v>
      </c>
      <c r="X62" s="596"/>
      <c r="Y62" s="395"/>
      <c r="Z62" s="395"/>
      <c r="AA62" s="387">
        <f t="shared" si="3"/>
        <v>1980</v>
      </c>
    </row>
    <row r="63" spans="1:27" s="773" customFormat="1" x14ac:dyDescent="0.2">
      <c r="A63" s="764">
        <f t="shared" si="2"/>
        <v>61</v>
      </c>
      <c r="B63" s="774">
        <v>126</v>
      </c>
      <c r="C63" s="775" t="s">
        <v>1657</v>
      </c>
      <c r="D63" s="767">
        <f t="shared" si="0"/>
        <v>5.0000000000000001E-3</v>
      </c>
      <c r="E63" s="767">
        <f t="shared" si="1"/>
        <v>0.01</v>
      </c>
      <c r="F63" s="768">
        <v>0</v>
      </c>
      <c r="G63" s="768">
        <v>0</v>
      </c>
      <c r="H63" s="768">
        <v>0</v>
      </c>
      <c r="I63" s="768">
        <v>0</v>
      </c>
      <c r="J63" s="768">
        <v>0</v>
      </c>
      <c r="K63" s="768">
        <v>0</v>
      </c>
      <c r="L63" s="768">
        <v>0</v>
      </c>
      <c r="M63" s="768">
        <v>0</v>
      </c>
      <c r="N63" s="768">
        <v>0</v>
      </c>
      <c r="O63" s="768">
        <v>0</v>
      </c>
      <c r="P63" s="768">
        <v>0</v>
      </c>
      <c r="Q63" s="768">
        <v>0</v>
      </c>
      <c r="R63" s="768">
        <v>0</v>
      </c>
      <c r="S63" s="768">
        <v>0</v>
      </c>
      <c r="T63" s="767">
        <v>5.0000000000000001E-3</v>
      </c>
      <c r="U63" s="767">
        <v>0.01</v>
      </c>
      <c r="V63" s="764">
        <v>5</v>
      </c>
      <c r="W63" s="764" t="s">
        <v>812</v>
      </c>
      <c r="X63" s="779" t="s">
        <v>1654</v>
      </c>
      <c r="Y63" s="776"/>
      <c r="Z63" s="776"/>
      <c r="AA63" s="772">
        <f t="shared" si="3"/>
        <v>2017</v>
      </c>
    </row>
    <row r="64" spans="1:27" x14ac:dyDescent="0.2">
      <c r="A64" s="391">
        <f t="shared" ref="A64:A69" si="6">+A63+1</f>
        <v>62</v>
      </c>
      <c r="B64" s="396">
        <v>190</v>
      </c>
      <c r="C64" s="397" t="s">
        <v>834</v>
      </c>
      <c r="D64" s="392">
        <f t="shared" si="0"/>
        <v>0.02</v>
      </c>
      <c r="E64" s="392">
        <f t="shared" si="1"/>
        <v>0.02</v>
      </c>
      <c r="F64" s="399">
        <v>1.4999999999999999E-2</v>
      </c>
      <c r="G64" s="399">
        <v>1.4999999999999999E-2</v>
      </c>
      <c r="H64" s="399">
        <v>1.4999999999999999E-2</v>
      </c>
      <c r="I64" s="399">
        <v>1.4999999999999999E-2</v>
      </c>
      <c r="J64" s="399">
        <v>1.4999999999999999E-2</v>
      </c>
      <c r="K64" s="399">
        <v>1.4999999999999999E-2</v>
      </c>
      <c r="L64" s="399">
        <v>1.4999999999999999E-2</v>
      </c>
      <c r="M64" s="399">
        <v>1.4999999999999999E-2</v>
      </c>
      <c r="N64" s="399">
        <v>1.4999999999999999E-2</v>
      </c>
      <c r="O64" s="399">
        <v>1.4999999999999999E-2</v>
      </c>
      <c r="P64" s="399">
        <v>1.4999999999999999E-2</v>
      </c>
      <c r="Q64" s="399">
        <v>0.02</v>
      </c>
      <c r="R64" s="399">
        <v>0.02</v>
      </c>
      <c r="S64" s="399">
        <v>0.02</v>
      </c>
      <c r="T64" s="399">
        <v>0.02</v>
      </c>
      <c r="U64" s="399">
        <v>0.02</v>
      </c>
      <c r="V64" s="402">
        <v>0</v>
      </c>
      <c r="W64" s="391" t="s">
        <v>687</v>
      </c>
      <c r="X64" s="596"/>
      <c r="Y64" s="395"/>
      <c r="Z64" s="395"/>
      <c r="AA64" s="387">
        <f t="shared" si="3"/>
        <v>1980</v>
      </c>
    </row>
    <row r="65" spans="1:27" s="3" customFormat="1" x14ac:dyDescent="0.2">
      <c r="A65" s="402">
        <f t="shared" si="6"/>
        <v>63</v>
      </c>
      <c r="B65" s="401">
        <v>151</v>
      </c>
      <c r="C65" s="397" t="s">
        <v>1565</v>
      </c>
      <c r="D65" s="399">
        <f t="shared" si="0"/>
        <v>0.02</v>
      </c>
      <c r="E65" s="399">
        <f t="shared" si="1"/>
        <v>0.02</v>
      </c>
      <c r="F65" s="399">
        <v>0</v>
      </c>
      <c r="G65" s="399">
        <v>0</v>
      </c>
      <c r="H65" s="399">
        <v>0</v>
      </c>
      <c r="I65" s="399">
        <v>0</v>
      </c>
      <c r="J65" s="399">
        <v>0</v>
      </c>
      <c r="K65" s="399">
        <v>0</v>
      </c>
      <c r="L65" s="399">
        <v>0</v>
      </c>
      <c r="M65" s="399">
        <v>0</v>
      </c>
      <c r="N65" s="399">
        <v>0</v>
      </c>
      <c r="O65" s="399">
        <v>0</v>
      </c>
      <c r="P65" s="399">
        <v>0</v>
      </c>
      <c r="Q65" s="399">
        <v>0</v>
      </c>
      <c r="R65" s="399">
        <v>3.3E-3</v>
      </c>
      <c r="S65" s="399">
        <v>0.02</v>
      </c>
      <c r="T65" s="399">
        <v>0.02</v>
      </c>
      <c r="U65" s="399">
        <v>0.02</v>
      </c>
      <c r="V65" s="402">
        <v>5</v>
      </c>
      <c r="W65" s="693" t="s">
        <v>812</v>
      </c>
      <c r="X65" s="727" t="s">
        <v>1566</v>
      </c>
      <c r="Y65" s="726"/>
      <c r="Z65" s="726"/>
      <c r="AA65" s="387">
        <f t="shared" si="3"/>
        <v>2015</v>
      </c>
    </row>
    <row r="66" spans="1:27" s="3" customFormat="1" x14ac:dyDescent="0.2">
      <c r="A66" s="402">
        <f t="shared" si="6"/>
        <v>64</v>
      </c>
      <c r="B66" s="401">
        <v>237</v>
      </c>
      <c r="C66" s="397" t="s">
        <v>1569</v>
      </c>
      <c r="D66" s="399">
        <f t="shared" si="0"/>
        <v>0.01</v>
      </c>
      <c r="E66" s="399">
        <f t="shared" si="1"/>
        <v>0.01</v>
      </c>
      <c r="F66" s="399">
        <v>0</v>
      </c>
      <c r="G66" s="399">
        <v>0</v>
      </c>
      <c r="H66" s="399">
        <v>0</v>
      </c>
      <c r="I66" s="399">
        <v>0</v>
      </c>
      <c r="J66" s="399">
        <v>0</v>
      </c>
      <c r="K66" s="399">
        <v>0</v>
      </c>
      <c r="L66" s="399">
        <v>0</v>
      </c>
      <c r="M66" s="399">
        <v>0</v>
      </c>
      <c r="N66" s="399">
        <v>0</v>
      </c>
      <c r="O66" s="399">
        <v>0</v>
      </c>
      <c r="P66" s="399">
        <v>0</v>
      </c>
      <c r="Q66" s="399">
        <v>0</v>
      </c>
      <c r="R66" s="399">
        <v>5.0000000000000001E-3</v>
      </c>
      <c r="S66" s="399">
        <v>0.01</v>
      </c>
      <c r="T66" s="399">
        <v>0.01</v>
      </c>
      <c r="U66" s="399">
        <v>0.01</v>
      </c>
      <c r="V66" s="402">
        <v>5</v>
      </c>
      <c r="W66" s="402" t="s">
        <v>812</v>
      </c>
      <c r="X66" s="727" t="s">
        <v>1566</v>
      </c>
      <c r="Y66" s="726"/>
      <c r="Z66" s="726"/>
      <c r="AA66" s="387">
        <f t="shared" si="3"/>
        <v>2015</v>
      </c>
    </row>
    <row r="67" spans="1:27" x14ac:dyDescent="0.2">
      <c r="A67" s="402">
        <f t="shared" si="6"/>
        <v>65</v>
      </c>
      <c r="B67" s="396">
        <v>210</v>
      </c>
      <c r="C67" s="394" t="s">
        <v>954</v>
      </c>
      <c r="D67" s="392">
        <f t="shared" si="0"/>
        <v>2.2499999999999999E-2</v>
      </c>
      <c r="E67" s="392">
        <f t="shared" si="1"/>
        <v>2.2499999999999999E-2</v>
      </c>
      <c r="F67" s="399">
        <v>0.02</v>
      </c>
      <c r="G67" s="399">
        <v>0.02</v>
      </c>
      <c r="H67" s="399">
        <v>0.02</v>
      </c>
      <c r="I67" s="399">
        <v>0.02</v>
      </c>
      <c r="J67" s="399">
        <v>0.02</v>
      </c>
      <c r="K67" s="399">
        <v>0.02</v>
      </c>
      <c r="L67" s="399">
        <v>0.02</v>
      </c>
      <c r="M67" s="399">
        <v>0.02</v>
      </c>
      <c r="N67" s="399">
        <v>0.02</v>
      </c>
      <c r="O67" s="399">
        <v>0.02</v>
      </c>
      <c r="P67" s="399">
        <v>0.02</v>
      </c>
      <c r="Q67" s="399">
        <v>0.02</v>
      </c>
      <c r="R67" s="399">
        <v>2.2499999999999999E-2</v>
      </c>
      <c r="S67" s="399">
        <v>2.2499999999999999E-2</v>
      </c>
      <c r="T67" s="399">
        <v>2.2499999999999999E-2</v>
      </c>
      <c r="U67" s="399">
        <v>2.2499999999999999E-2</v>
      </c>
      <c r="V67" s="402">
        <v>5</v>
      </c>
      <c r="W67" s="391" t="s">
        <v>812</v>
      </c>
      <c r="X67" s="596" t="s">
        <v>1498</v>
      </c>
      <c r="Y67" s="395"/>
      <c r="Z67" s="395"/>
      <c r="AA67" s="387">
        <f t="shared" si="3"/>
        <v>1980</v>
      </c>
    </row>
    <row r="68" spans="1:27" x14ac:dyDescent="0.2">
      <c r="A68" s="391">
        <f t="shared" si="6"/>
        <v>66</v>
      </c>
      <c r="B68" s="396">
        <v>159</v>
      </c>
      <c r="C68" s="394" t="s">
        <v>1066</v>
      </c>
      <c r="D68" s="392">
        <f t="shared" ref="D68:D131" si="7">HLOOKUP(D$1,F$2:U$405,(A68+1),FALSE)</f>
        <v>0.01</v>
      </c>
      <c r="E68" s="392">
        <f t="shared" ref="E68:E131" si="8">HLOOKUP(D$1+1,F$2:U$405,(A68+1),FALSE)</f>
        <v>0.01</v>
      </c>
      <c r="F68" s="399">
        <v>0</v>
      </c>
      <c r="G68" s="399">
        <v>0</v>
      </c>
      <c r="H68" s="399">
        <v>0</v>
      </c>
      <c r="I68" s="399">
        <v>0</v>
      </c>
      <c r="J68" s="399">
        <v>0</v>
      </c>
      <c r="K68" s="399">
        <v>0</v>
      </c>
      <c r="L68" s="399">
        <v>0</v>
      </c>
      <c r="M68" s="399">
        <v>0</v>
      </c>
      <c r="N68" s="399">
        <v>0.01</v>
      </c>
      <c r="O68" s="399">
        <v>0.01</v>
      </c>
      <c r="P68" s="399">
        <v>0.01</v>
      </c>
      <c r="Q68" s="399">
        <v>0.01</v>
      </c>
      <c r="R68" s="399">
        <v>0.01</v>
      </c>
      <c r="S68" s="399">
        <v>0.01</v>
      </c>
      <c r="T68" s="399">
        <v>0.01</v>
      </c>
      <c r="U68" s="399">
        <v>0.01</v>
      </c>
      <c r="V68" s="402">
        <v>0</v>
      </c>
      <c r="W68" s="391" t="s">
        <v>687</v>
      </c>
      <c r="X68" s="596"/>
      <c r="Y68" s="395"/>
      <c r="Z68" s="395"/>
      <c r="AA68" s="387">
        <f t="shared" si="3"/>
        <v>2011</v>
      </c>
    </row>
    <row r="69" spans="1:27" x14ac:dyDescent="0.2">
      <c r="A69" s="391">
        <f t="shared" si="6"/>
        <v>67</v>
      </c>
      <c r="B69" s="396">
        <v>293</v>
      </c>
      <c r="C69" s="397" t="s">
        <v>1483</v>
      </c>
      <c r="D69" s="392">
        <f t="shared" si="7"/>
        <v>2.5000000000000001E-2</v>
      </c>
      <c r="E69" s="392">
        <f t="shared" si="8"/>
        <v>2.5000000000000001E-2</v>
      </c>
      <c r="F69" s="399">
        <v>0</v>
      </c>
      <c r="G69" s="399">
        <v>0</v>
      </c>
      <c r="H69" s="399">
        <v>0</v>
      </c>
      <c r="I69" s="399">
        <v>0</v>
      </c>
      <c r="J69" s="399">
        <v>0</v>
      </c>
      <c r="K69" s="399">
        <v>0</v>
      </c>
      <c r="L69" s="399">
        <v>0</v>
      </c>
      <c r="M69" s="399">
        <v>0</v>
      </c>
      <c r="N69" s="399">
        <v>0</v>
      </c>
      <c r="O69" s="399">
        <v>0</v>
      </c>
      <c r="P69" s="399">
        <v>1.8749999999999999E-2</v>
      </c>
      <c r="Q69" s="399">
        <v>2.5000000000000001E-2</v>
      </c>
      <c r="R69" s="399">
        <v>2.5000000000000001E-2</v>
      </c>
      <c r="S69" s="399">
        <v>2.5000000000000001E-2</v>
      </c>
      <c r="T69" s="399">
        <v>2.5000000000000001E-2</v>
      </c>
      <c r="U69" s="399">
        <v>2.5000000000000001E-2</v>
      </c>
      <c r="V69" s="402">
        <v>0</v>
      </c>
      <c r="W69" s="391" t="s">
        <v>687</v>
      </c>
      <c r="X69" s="596" t="s">
        <v>1446</v>
      </c>
      <c r="Y69" s="395"/>
      <c r="Z69" s="395"/>
      <c r="AA69" s="387">
        <f t="shared" si="3"/>
        <v>2013</v>
      </c>
    </row>
    <row r="70" spans="1:27" x14ac:dyDescent="0.2">
      <c r="A70" s="391">
        <f t="shared" si="2"/>
        <v>68</v>
      </c>
      <c r="B70" s="396">
        <v>224</v>
      </c>
      <c r="C70" s="397" t="s">
        <v>1175</v>
      </c>
      <c r="D70" s="392">
        <f t="shared" si="7"/>
        <v>7.4999999999999997E-3</v>
      </c>
      <c r="E70" s="392">
        <f t="shared" si="8"/>
        <v>7.4999999999999997E-3</v>
      </c>
      <c r="F70" s="399">
        <v>0</v>
      </c>
      <c r="G70" s="399">
        <v>0</v>
      </c>
      <c r="H70" s="399">
        <v>0</v>
      </c>
      <c r="I70" s="399">
        <v>0</v>
      </c>
      <c r="J70" s="399">
        <v>0</v>
      </c>
      <c r="K70" s="399">
        <v>0.01</v>
      </c>
      <c r="L70" s="399">
        <v>0.01</v>
      </c>
      <c r="M70" s="399">
        <v>0.01</v>
      </c>
      <c r="N70" s="399">
        <v>0.01</v>
      </c>
      <c r="O70" s="399">
        <v>0.01</v>
      </c>
      <c r="P70" s="399">
        <v>0.01</v>
      </c>
      <c r="Q70" s="399">
        <v>7.4999999999999997E-3</v>
      </c>
      <c r="R70" s="399">
        <v>7.4999999999999997E-3</v>
      </c>
      <c r="S70" s="399">
        <v>7.4999999999999997E-3</v>
      </c>
      <c r="T70" s="399">
        <v>7.4999999999999997E-3</v>
      </c>
      <c r="U70" s="399">
        <v>7.4999999999999997E-3</v>
      </c>
      <c r="V70" s="402">
        <v>5</v>
      </c>
      <c r="W70" s="391" t="s">
        <v>812</v>
      </c>
      <c r="X70" s="596"/>
      <c r="Y70" s="395"/>
      <c r="Z70" s="395"/>
      <c r="AA70" s="387">
        <f t="shared" si="3"/>
        <v>2008</v>
      </c>
    </row>
    <row r="71" spans="1:27" x14ac:dyDescent="0.2">
      <c r="A71" s="391">
        <f t="shared" si="2"/>
        <v>69</v>
      </c>
      <c r="B71" s="396">
        <v>236</v>
      </c>
      <c r="C71" s="397" t="s">
        <v>1444</v>
      </c>
      <c r="D71" s="392">
        <f t="shared" si="7"/>
        <v>0.01</v>
      </c>
      <c r="E71" s="392">
        <f t="shared" si="8"/>
        <v>0.01</v>
      </c>
      <c r="F71" s="399">
        <v>0</v>
      </c>
      <c r="G71" s="399">
        <v>0</v>
      </c>
      <c r="H71" s="399">
        <v>0</v>
      </c>
      <c r="I71" s="399">
        <v>0</v>
      </c>
      <c r="J71" s="399">
        <v>0</v>
      </c>
      <c r="K71" s="399">
        <v>0</v>
      </c>
      <c r="L71" s="399">
        <v>0</v>
      </c>
      <c r="M71" s="399">
        <v>0</v>
      </c>
      <c r="N71" s="399">
        <v>0</v>
      </c>
      <c r="O71" s="399">
        <v>0</v>
      </c>
      <c r="P71" s="399">
        <v>0</v>
      </c>
      <c r="Q71" s="399">
        <v>0.01</v>
      </c>
      <c r="R71" s="399">
        <v>0.01</v>
      </c>
      <c r="S71" s="399">
        <v>0.01</v>
      </c>
      <c r="T71" s="399">
        <v>0.01</v>
      </c>
      <c r="U71" s="399">
        <v>0.01</v>
      </c>
      <c r="V71" s="402">
        <v>5</v>
      </c>
      <c r="W71" s="391" t="s">
        <v>812</v>
      </c>
      <c r="X71" s="596"/>
      <c r="Y71" s="395"/>
      <c r="Z71" s="395"/>
      <c r="AA71" s="387">
        <f t="shared" si="3"/>
        <v>2014</v>
      </c>
    </row>
    <row r="72" spans="1:27" x14ac:dyDescent="0.2">
      <c r="A72" s="391">
        <f t="shared" si="2"/>
        <v>70</v>
      </c>
      <c r="B72" s="396">
        <v>226</v>
      </c>
      <c r="C72" s="394" t="s">
        <v>1067</v>
      </c>
      <c r="D72" s="392">
        <f t="shared" si="7"/>
        <v>0.01</v>
      </c>
      <c r="E72" s="392">
        <f t="shared" si="8"/>
        <v>0.01</v>
      </c>
      <c r="F72" s="399">
        <v>0</v>
      </c>
      <c r="G72" s="399">
        <v>0</v>
      </c>
      <c r="H72" s="399">
        <v>0</v>
      </c>
      <c r="I72" s="399">
        <v>0</v>
      </c>
      <c r="J72" s="399">
        <v>0</v>
      </c>
      <c r="K72" s="399">
        <v>0</v>
      </c>
      <c r="L72" s="399">
        <v>0</v>
      </c>
      <c r="M72" s="399">
        <v>0</v>
      </c>
      <c r="N72" s="399">
        <v>0.01</v>
      </c>
      <c r="O72" s="399">
        <v>0.01</v>
      </c>
      <c r="P72" s="399">
        <v>0.01</v>
      </c>
      <c r="Q72" s="399">
        <v>0.01</v>
      </c>
      <c r="R72" s="399">
        <v>0.01</v>
      </c>
      <c r="S72" s="399">
        <v>0.01</v>
      </c>
      <c r="T72" s="399">
        <v>0.01</v>
      </c>
      <c r="U72" s="399">
        <v>0.01</v>
      </c>
      <c r="V72" s="402">
        <v>5</v>
      </c>
      <c r="W72" s="391" t="s">
        <v>812</v>
      </c>
      <c r="X72" s="596"/>
      <c r="Y72" s="395"/>
      <c r="Z72" s="395"/>
      <c r="AA72" s="387">
        <f t="shared" ref="AA72:AA137" si="9">_xlfn.IFNA(MATCH(0,F72:U72,1),-23) + F$2 -1</f>
        <v>2011</v>
      </c>
    </row>
    <row r="73" spans="1:27" x14ac:dyDescent="0.2">
      <c r="A73" s="391">
        <f t="shared" si="2"/>
        <v>71</v>
      </c>
      <c r="B73" s="401">
        <v>223</v>
      </c>
      <c r="C73" s="397" t="s">
        <v>835</v>
      </c>
      <c r="D73" s="392">
        <f t="shared" si="7"/>
        <v>5.0000000000000001E-3</v>
      </c>
      <c r="E73" s="392">
        <f t="shared" si="8"/>
        <v>5.0000000000000001E-3</v>
      </c>
      <c r="F73" s="399">
        <v>1.4999999999999999E-2</v>
      </c>
      <c r="G73" s="399">
        <v>5.0000000000000001E-3</v>
      </c>
      <c r="H73" s="399">
        <v>5.0000000000000001E-3</v>
      </c>
      <c r="I73" s="399">
        <v>5.0000000000000001E-3</v>
      </c>
      <c r="J73" s="399">
        <v>5.0000000000000001E-3</v>
      </c>
      <c r="K73" s="399">
        <v>5.0000000000000001E-3</v>
      </c>
      <c r="L73" s="399">
        <v>5.0000000000000001E-3</v>
      </c>
      <c r="M73" s="399">
        <v>5.0000000000000001E-3</v>
      </c>
      <c r="N73" s="399">
        <v>5.0000000000000001E-3</v>
      </c>
      <c r="O73" s="399">
        <v>5.0000000000000001E-3</v>
      </c>
      <c r="P73" s="399">
        <v>5.0000000000000001E-3</v>
      </c>
      <c r="Q73" s="399">
        <v>5.0000000000000001E-3</v>
      </c>
      <c r="R73" s="399">
        <v>5.0000000000000001E-3</v>
      </c>
      <c r="S73" s="399">
        <v>5.0000000000000001E-3</v>
      </c>
      <c r="T73" s="399">
        <v>5.0000000000000001E-3</v>
      </c>
      <c r="U73" s="399">
        <v>5.0000000000000001E-3</v>
      </c>
      <c r="V73" s="402">
        <v>3</v>
      </c>
      <c r="W73" s="391" t="s">
        <v>812</v>
      </c>
      <c r="X73" s="596"/>
      <c r="Y73" s="395"/>
      <c r="Z73" s="395"/>
      <c r="AA73" s="387">
        <f t="shared" ref="AA73" si="10">_xlfn.IFNA(MATCH(0,F73:U73,1),-23) + F$2 -1</f>
        <v>1980</v>
      </c>
    </row>
    <row r="74" spans="1:27" s="773" customFormat="1" x14ac:dyDescent="0.2">
      <c r="A74" s="764">
        <f t="shared" si="2"/>
        <v>72</v>
      </c>
      <c r="B74" s="774">
        <v>220</v>
      </c>
      <c r="C74" s="775" t="s">
        <v>1772</v>
      </c>
      <c r="D74" s="767">
        <f t="shared" si="7"/>
        <v>0.02</v>
      </c>
      <c r="E74" s="767">
        <f t="shared" si="8"/>
        <v>0.02</v>
      </c>
      <c r="F74" s="767">
        <v>0.02</v>
      </c>
      <c r="G74" s="767">
        <v>0.02</v>
      </c>
      <c r="H74" s="767">
        <v>0.02</v>
      </c>
      <c r="I74" s="767">
        <v>0.02</v>
      </c>
      <c r="J74" s="767">
        <v>0.02</v>
      </c>
      <c r="K74" s="767">
        <v>0.02</v>
      </c>
      <c r="L74" s="767">
        <v>0.02</v>
      </c>
      <c r="M74" s="767">
        <v>0.02</v>
      </c>
      <c r="N74" s="767">
        <v>0.02</v>
      </c>
      <c r="O74" s="767">
        <v>0.02</v>
      </c>
      <c r="P74" s="767">
        <v>0.02</v>
      </c>
      <c r="Q74" s="767">
        <v>0.02</v>
      </c>
      <c r="R74" s="767">
        <v>0.02</v>
      </c>
      <c r="S74" s="767">
        <v>0.02</v>
      </c>
      <c r="T74" s="767">
        <v>0.02</v>
      </c>
      <c r="U74" s="767">
        <v>0.02</v>
      </c>
      <c r="V74" s="764">
        <v>5</v>
      </c>
      <c r="W74" s="764" t="s">
        <v>812</v>
      </c>
      <c r="X74" s="780"/>
      <c r="Y74" s="776"/>
      <c r="Z74" s="776"/>
      <c r="AA74" s="772">
        <f t="shared" si="9"/>
        <v>1980</v>
      </c>
    </row>
    <row r="75" spans="1:27" s="773" customFormat="1" x14ac:dyDescent="0.2">
      <c r="A75" s="764">
        <f t="shared" si="2"/>
        <v>73</v>
      </c>
      <c r="B75" s="774">
        <v>135</v>
      </c>
      <c r="C75" s="775" t="s">
        <v>1658</v>
      </c>
      <c r="D75" s="767">
        <f t="shared" si="7"/>
        <v>0.02</v>
      </c>
      <c r="E75" s="767">
        <f t="shared" si="8"/>
        <v>0.02</v>
      </c>
      <c r="F75" s="767">
        <v>0.02</v>
      </c>
      <c r="G75" s="767">
        <v>0.02</v>
      </c>
      <c r="H75" s="767">
        <v>0.02</v>
      </c>
      <c r="I75" s="767">
        <v>0.02</v>
      </c>
      <c r="J75" s="767">
        <v>0.02</v>
      </c>
      <c r="K75" s="767">
        <v>0.02</v>
      </c>
      <c r="L75" s="767">
        <v>0.02</v>
      </c>
      <c r="M75" s="767">
        <v>0.02</v>
      </c>
      <c r="N75" s="767">
        <v>0.02</v>
      </c>
      <c r="O75" s="767">
        <v>0.02</v>
      </c>
      <c r="P75" s="767">
        <v>0.02</v>
      </c>
      <c r="Q75" s="767">
        <v>0.02</v>
      </c>
      <c r="R75" s="767">
        <v>0.02</v>
      </c>
      <c r="S75" s="767">
        <v>0.02</v>
      </c>
      <c r="T75" s="767">
        <v>0.02</v>
      </c>
      <c r="U75" s="767">
        <v>0.02</v>
      </c>
      <c r="V75" s="764">
        <v>5</v>
      </c>
      <c r="W75" s="764" t="s">
        <v>812</v>
      </c>
      <c r="X75" s="780"/>
      <c r="Y75" s="776"/>
      <c r="Z75" s="776"/>
      <c r="AA75" s="772">
        <f t="shared" si="9"/>
        <v>1980</v>
      </c>
    </row>
    <row r="76" spans="1:27" x14ac:dyDescent="0.2">
      <c r="A76" s="391">
        <f t="shared" si="2"/>
        <v>74</v>
      </c>
      <c r="B76" s="396">
        <v>250</v>
      </c>
      <c r="C76" s="394" t="s">
        <v>836</v>
      </c>
      <c r="D76" s="392">
        <f t="shared" si="7"/>
        <v>2.5000000000000001E-2</v>
      </c>
      <c r="E76" s="392">
        <f t="shared" si="8"/>
        <v>2.5000000000000001E-2</v>
      </c>
      <c r="F76" s="399">
        <v>0.02</v>
      </c>
      <c r="G76" s="399">
        <v>0.02</v>
      </c>
      <c r="H76" s="399">
        <v>0.02</v>
      </c>
      <c r="I76" s="399">
        <v>0.02</v>
      </c>
      <c r="J76" s="399">
        <v>0.02</v>
      </c>
      <c r="K76" s="399">
        <v>0.02</v>
      </c>
      <c r="L76" s="399">
        <v>0.02</v>
      </c>
      <c r="M76" s="399">
        <v>0.02</v>
      </c>
      <c r="N76" s="399">
        <v>0.02</v>
      </c>
      <c r="O76" s="399">
        <v>0.02</v>
      </c>
      <c r="P76" s="399">
        <v>0.02</v>
      </c>
      <c r="Q76" s="399">
        <v>0.02</v>
      </c>
      <c r="R76" s="399">
        <v>0.02</v>
      </c>
      <c r="S76" s="399">
        <v>2.5000000000000001E-2</v>
      </c>
      <c r="T76" s="399">
        <v>2.5000000000000001E-2</v>
      </c>
      <c r="U76" s="399">
        <v>2.5000000000000001E-2</v>
      </c>
      <c r="V76" s="402">
        <v>5</v>
      </c>
      <c r="W76" s="391" t="s">
        <v>812</v>
      </c>
      <c r="X76" s="596"/>
      <c r="Y76" s="395"/>
      <c r="Z76" s="395"/>
      <c r="AA76" s="387">
        <f t="shared" si="9"/>
        <v>1980</v>
      </c>
    </row>
    <row r="77" spans="1:27" x14ac:dyDescent="0.2">
      <c r="A77" s="391">
        <f t="shared" si="2"/>
        <v>75</v>
      </c>
      <c r="B77" s="401">
        <v>251</v>
      </c>
      <c r="C77" s="394" t="s">
        <v>1412</v>
      </c>
      <c r="D77" s="392">
        <f t="shared" si="7"/>
        <v>1.4999999999999999E-2</v>
      </c>
      <c r="E77" s="392">
        <f t="shared" si="8"/>
        <v>1.4999999999999999E-2</v>
      </c>
      <c r="F77" s="399">
        <v>0.01</v>
      </c>
      <c r="G77" s="399">
        <v>0.01</v>
      </c>
      <c r="H77" s="399">
        <v>0.01</v>
      </c>
      <c r="I77" s="399">
        <v>0.01</v>
      </c>
      <c r="J77" s="399">
        <v>0.01</v>
      </c>
      <c r="K77" s="399">
        <v>0.01</v>
      </c>
      <c r="L77" s="399">
        <v>0.01</v>
      </c>
      <c r="M77" s="399">
        <v>0.01</v>
      </c>
      <c r="N77" s="399">
        <v>0.01</v>
      </c>
      <c r="O77" s="399">
        <v>0.01</v>
      </c>
      <c r="P77" s="399">
        <v>0.01</v>
      </c>
      <c r="Q77" s="399">
        <v>0.01</v>
      </c>
      <c r="R77" s="399">
        <v>1.4999999999999999E-2</v>
      </c>
      <c r="S77" s="399">
        <v>1.4999999999999999E-2</v>
      </c>
      <c r="T77" s="399">
        <v>1.4999999999999999E-2</v>
      </c>
      <c r="U77" s="399">
        <v>1.4999999999999999E-2</v>
      </c>
      <c r="V77" s="402">
        <v>0</v>
      </c>
      <c r="W77" s="391" t="s">
        <v>687</v>
      </c>
      <c r="X77" s="596" t="s">
        <v>1498</v>
      </c>
      <c r="Y77" s="395"/>
      <c r="Z77" s="395"/>
      <c r="AA77" s="387">
        <f t="shared" si="9"/>
        <v>1980</v>
      </c>
    </row>
    <row r="78" spans="1:27" s="3" customFormat="1" x14ac:dyDescent="0.2">
      <c r="A78" s="402">
        <f t="shared" si="2"/>
        <v>76</v>
      </c>
      <c r="B78" s="401">
        <v>152</v>
      </c>
      <c r="C78" s="397" t="s">
        <v>1567</v>
      </c>
      <c r="D78" s="399">
        <f t="shared" si="7"/>
        <v>0.01</v>
      </c>
      <c r="E78" s="399">
        <f t="shared" si="8"/>
        <v>0.01</v>
      </c>
      <c r="F78" s="399">
        <v>0</v>
      </c>
      <c r="G78" s="399">
        <v>0</v>
      </c>
      <c r="H78" s="399">
        <v>0</v>
      </c>
      <c r="I78" s="399">
        <v>0</v>
      </c>
      <c r="J78" s="399">
        <v>0</v>
      </c>
      <c r="K78" s="399">
        <v>0</v>
      </c>
      <c r="L78" s="399">
        <v>0</v>
      </c>
      <c r="M78" s="399">
        <v>0</v>
      </c>
      <c r="N78" s="399">
        <v>0</v>
      </c>
      <c r="O78" s="399">
        <v>0</v>
      </c>
      <c r="P78" s="399">
        <v>0</v>
      </c>
      <c r="Q78" s="399">
        <v>0</v>
      </c>
      <c r="R78" s="399">
        <v>2.5000000000000001E-3</v>
      </c>
      <c r="S78" s="399">
        <v>0.01</v>
      </c>
      <c r="T78" s="399">
        <v>0.01</v>
      </c>
      <c r="U78" s="399">
        <v>0.01</v>
      </c>
      <c r="V78" s="402">
        <v>5</v>
      </c>
      <c r="W78" s="693" t="s">
        <v>812</v>
      </c>
      <c r="X78" s="727" t="s">
        <v>1566</v>
      </c>
      <c r="Y78" s="726"/>
      <c r="Z78" s="726"/>
      <c r="AA78" s="387">
        <f t="shared" si="9"/>
        <v>2015</v>
      </c>
    </row>
    <row r="79" spans="1:27" s="3" customFormat="1" x14ac:dyDescent="0.2">
      <c r="A79" s="402">
        <f>+A78+1</f>
        <v>77</v>
      </c>
      <c r="B79" s="401">
        <v>249</v>
      </c>
      <c r="C79" s="397" t="s">
        <v>1571</v>
      </c>
      <c r="D79" s="399">
        <f t="shared" si="7"/>
        <v>0.01</v>
      </c>
      <c r="E79" s="399">
        <f t="shared" si="8"/>
        <v>0.01</v>
      </c>
      <c r="F79" s="399">
        <v>0.01</v>
      </c>
      <c r="G79" s="399">
        <v>0.01</v>
      </c>
      <c r="H79" s="399">
        <v>0.01</v>
      </c>
      <c r="I79" s="399">
        <v>0.01</v>
      </c>
      <c r="J79" s="399">
        <v>0.01</v>
      </c>
      <c r="K79" s="399">
        <v>0.01</v>
      </c>
      <c r="L79" s="399">
        <v>0.01</v>
      </c>
      <c r="M79" s="399">
        <v>0.01</v>
      </c>
      <c r="N79" s="399">
        <v>0.01</v>
      </c>
      <c r="O79" s="399">
        <v>0.01</v>
      </c>
      <c r="P79" s="399">
        <v>0.01</v>
      </c>
      <c r="Q79" s="399">
        <v>0.01</v>
      </c>
      <c r="R79" s="399">
        <v>0.01</v>
      </c>
      <c r="S79" s="399">
        <v>0.01</v>
      </c>
      <c r="T79" s="399">
        <v>0.01</v>
      </c>
      <c r="U79" s="399">
        <v>0.01</v>
      </c>
      <c r="V79" s="402">
        <v>0</v>
      </c>
      <c r="W79" s="693" t="s">
        <v>812</v>
      </c>
      <c r="X79" s="727"/>
      <c r="Y79" s="726"/>
      <c r="Z79" s="726"/>
      <c r="AA79" s="387">
        <f t="shared" si="9"/>
        <v>1980</v>
      </c>
    </row>
    <row r="80" spans="1:27" x14ac:dyDescent="0.2">
      <c r="A80" s="391">
        <f>+A79+1</f>
        <v>78</v>
      </c>
      <c r="B80" s="401">
        <v>256</v>
      </c>
      <c r="C80" s="394" t="s">
        <v>1407</v>
      </c>
      <c r="D80" s="392">
        <f t="shared" si="7"/>
        <v>0.02</v>
      </c>
      <c r="E80" s="392">
        <f t="shared" si="8"/>
        <v>0.02</v>
      </c>
      <c r="F80" s="399">
        <v>0.02</v>
      </c>
      <c r="G80" s="399">
        <v>0.02</v>
      </c>
      <c r="H80" s="399">
        <v>0.02</v>
      </c>
      <c r="I80" s="399">
        <v>0.02</v>
      </c>
      <c r="J80" s="399">
        <v>0.02</v>
      </c>
      <c r="K80" s="399">
        <v>0.02</v>
      </c>
      <c r="L80" s="399">
        <v>0.02</v>
      </c>
      <c r="M80" s="399">
        <v>0.02</v>
      </c>
      <c r="N80" s="399">
        <v>0.02</v>
      </c>
      <c r="O80" s="399">
        <v>0.02</v>
      </c>
      <c r="P80" s="399">
        <v>0.02</v>
      </c>
      <c r="Q80" s="399">
        <v>0.02</v>
      </c>
      <c r="R80" s="399">
        <v>0.02</v>
      </c>
      <c r="S80" s="399">
        <v>0.02</v>
      </c>
      <c r="T80" s="399">
        <v>0.02</v>
      </c>
      <c r="U80" s="399">
        <v>0.02</v>
      </c>
      <c r="V80" s="402">
        <v>0</v>
      </c>
      <c r="W80" s="391" t="s">
        <v>687</v>
      </c>
      <c r="X80" s="596"/>
      <c r="Y80" s="395"/>
      <c r="Z80" s="395"/>
      <c r="AA80" s="387">
        <f t="shared" si="9"/>
        <v>1980</v>
      </c>
    </row>
    <row r="81" spans="1:27" x14ac:dyDescent="0.2">
      <c r="A81" s="391">
        <f t="shared" si="2"/>
        <v>79</v>
      </c>
      <c r="B81" s="401">
        <v>270</v>
      </c>
      <c r="C81" s="394" t="s">
        <v>837</v>
      </c>
      <c r="D81" s="392">
        <f t="shared" si="7"/>
        <v>0.02</v>
      </c>
      <c r="E81" s="392">
        <f t="shared" si="8"/>
        <v>0.02</v>
      </c>
      <c r="F81" s="399">
        <v>0.02</v>
      </c>
      <c r="G81" s="399">
        <v>0.02</v>
      </c>
      <c r="H81" s="399">
        <v>0.02</v>
      </c>
      <c r="I81" s="399">
        <v>0.02</v>
      </c>
      <c r="J81" s="399">
        <v>0.02</v>
      </c>
      <c r="K81" s="399">
        <v>0.02</v>
      </c>
      <c r="L81" s="399">
        <v>0.02</v>
      </c>
      <c r="M81" s="399">
        <v>0.02</v>
      </c>
      <c r="N81" s="399">
        <v>0.02</v>
      </c>
      <c r="O81" s="399">
        <v>0.02</v>
      </c>
      <c r="P81" s="399">
        <v>0.02</v>
      </c>
      <c r="Q81" s="399">
        <v>0.02</v>
      </c>
      <c r="R81" s="399">
        <v>0.02</v>
      </c>
      <c r="S81" s="399">
        <v>0.02</v>
      </c>
      <c r="T81" s="399">
        <v>0.02</v>
      </c>
      <c r="U81" s="399">
        <v>0.02</v>
      </c>
      <c r="V81" s="402">
        <v>5</v>
      </c>
      <c r="W81" s="391" t="s">
        <v>812</v>
      </c>
      <c r="X81" s="596"/>
      <c r="Y81" s="395"/>
      <c r="Z81" s="395"/>
      <c r="AA81" s="387">
        <f t="shared" si="9"/>
        <v>1980</v>
      </c>
    </row>
    <row r="82" spans="1:27" x14ac:dyDescent="0.2">
      <c r="A82" s="391">
        <f t="shared" si="2"/>
        <v>80</v>
      </c>
      <c r="B82" s="401">
        <v>268</v>
      </c>
      <c r="C82" s="394" t="s">
        <v>838</v>
      </c>
      <c r="D82" s="392">
        <f t="shared" si="7"/>
        <v>0.01</v>
      </c>
      <c r="E82" s="392">
        <f t="shared" si="8"/>
        <v>0.01</v>
      </c>
      <c r="F82" s="399">
        <v>0.01</v>
      </c>
      <c r="G82" s="399">
        <v>0.01</v>
      </c>
      <c r="H82" s="399">
        <v>0.01</v>
      </c>
      <c r="I82" s="399">
        <v>0.01</v>
      </c>
      <c r="J82" s="399">
        <v>0.01</v>
      </c>
      <c r="K82" s="399">
        <v>0.01</v>
      </c>
      <c r="L82" s="399">
        <v>0.01</v>
      </c>
      <c r="M82" s="399">
        <v>0.01</v>
      </c>
      <c r="N82" s="399">
        <v>0.01</v>
      </c>
      <c r="O82" s="399">
        <v>0.01</v>
      </c>
      <c r="P82" s="399">
        <v>0.01</v>
      </c>
      <c r="Q82" s="399">
        <v>0.01</v>
      </c>
      <c r="R82" s="399">
        <v>0.01</v>
      </c>
      <c r="S82" s="399">
        <v>0.01</v>
      </c>
      <c r="T82" s="399">
        <v>0.01</v>
      </c>
      <c r="U82" s="399">
        <v>0.01</v>
      </c>
      <c r="V82" s="402">
        <v>0</v>
      </c>
      <c r="W82" s="391" t="s">
        <v>687</v>
      </c>
      <c r="X82" s="596"/>
      <c r="Y82" s="395"/>
      <c r="Z82" s="395"/>
      <c r="AA82" s="387">
        <f t="shared" si="9"/>
        <v>1980</v>
      </c>
    </row>
    <row r="83" spans="1:27" x14ac:dyDescent="0.2">
      <c r="A83" s="391">
        <f t="shared" si="2"/>
        <v>81</v>
      </c>
      <c r="B83" s="401">
        <v>273</v>
      </c>
      <c r="C83" s="397" t="s">
        <v>1493</v>
      </c>
      <c r="D83" s="392">
        <f t="shared" si="7"/>
        <v>0.02</v>
      </c>
      <c r="E83" s="392">
        <f t="shared" si="8"/>
        <v>0.02</v>
      </c>
      <c r="F83" s="399">
        <v>0.02</v>
      </c>
      <c r="G83" s="399">
        <v>0.02</v>
      </c>
      <c r="H83" s="399">
        <v>0.02</v>
      </c>
      <c r="I83" s="399">
        <v>0.02</v>
      </c>
      <c r="J83" s="399">
        <v>0.02</v>
      </c>
      <c r="K83" s="399">
        <v>0.02</v>
      </c>
      <c r="L83" s="399">
        <v>0.02</v>
      </c>
      <c r="M83" s="399">
        <v>0.02</v>
      </c>
      <c r="N83" s="399">
        <v>0.02</v>
      </c>
      <c r="O83" s="399">
        <v>0.02</v>
      </c>
      <c r="P83" s="399">
        <v>0.02</v>
      </c>
      <c r="Q83" s="399">
        <v>0.02</v>
      </c>
      <c r="R83" s="399">
        <v>0.02</v>
      </c>
      <c r="S83" s="399">
        <v>0.02</v>
      </c>
      <c r="T83" s="399">
        <v>0.02</v>
      </c>
      <c r="U83" s="399">
        <v>0.02</v>
      </c>
      <c r="V83" s="402">
        <v>1</v>
      </c>
      <c r="W83" s="387" t="s">
        <v>812</v>
      </c>
      <c r="X83" s="596"/>
      <c r="Y83" s="395"/>
      <c r="Z83" s="395"/>
      <c r="AA83" s="387">
        <f t="shared" si="9"/>
        <v>1980</v>
      </c>
    </row>
    <row r="84" spans="1:27" x14ac:dyDescent="0.2">
      <c r="A84" s="391">
        <f t="shared" si="2"/>
        <v>82</v>
      </c>
      <c r="B84" s="401">
        <v>246</v>
      </c>
      <c r="C84" s="397" t="s">
        <v>1437</v>
      </c>
      <c r="D84" s="392">
        <f t="shared" si="7"/>
        <v>1.4999999999999999E-2</v>
      </c>
      <c r="E84" s="392">
        <f t="shared" si="8"/>
        <v>1.4999999999999999E-2</v>
      </c>
      <c r="F84" s="399">
        <v>0</v>
      </c>
      <c r="G84" s="399">
        <v>1.4999999999999999E-2</v>
      </c>
      <c r="H84" s="399">
        <v>1.4999999999999999E-2</v>
      </c>
      <c r="I84" s="399">
        <v>1.4999999999999999E-2</v>
      </c>
      <c r="J84" s="399">
        <v>1.4999999999999999E-2</v>
      </c>
      <c r="K84" s="399">
        <v>1.4999999999999999E-2</v>
      </c>
      <c r="L84" s="399">
        <v>1.4999999999999999E-2</v>
      </c>
      <c r="M84" s="399">
        <v>1.4999999999999999E-2</v>
      </c>
      <c r="N84" s="399">
        <v>1.4999999999999999E-2</v>
      </c>
      <c r="O84" s="399">
        <v>1.4999999999999999E-2</v>
      </c>
      <c r="P84" s="399">
        <v>1.4999999999999999E-2</v>
      </c>
      <c r="Q84" s="399">
        <v>1.4999999999999999E-2</v>
      </c>
      <c r="R84" s="399">
        <v>1.4999999999999999E-2</v>
      </c>
      <c r="S84" s="399">
        <v>1.4999999999999999E-2</v>
      </c>
      <c r="T84" s="399">
        <v>1.4999999999999999E-2</v>
      </c>
      <c r="U84" s="399">
        <v>1.4999999999999999E-2</v>
      </c>
      <c r="V84" s="402">
        <v>0</v>
      </c>
      <c r="W84" s="387" t="s">
        <v>687</v>
      </c>
      <c r="X84" s="596"/>
      <c r="Y84" s="395"/>
      <c r="Z84" s="395"/>
      <c r="AA84" s="387">
        <f t="shared" si="9"/>
        <v>2004</v>
      </c>
    </row>
    <row r="85" spans="1:27" s="3" customFormat="1" x14ac:dyDescent="0.2">
      <c r="A85" s="402">
        <f t="shared" si="2"/>
        <v>83</v>
      </c>
      <c r="B85" s="401">
        <v>292</v>
      </c>
      <c r="C85" s="397" t="s">
        <v>1472</v>
      </c>
      <c r="D85" s="399">
        <f t="shared" si="7"/>
        <v>2.2499999999999999E-2</v>
      </c>
      <c r="E85" s="399">
        <f t="shared" si="8"/>
        <v>2.2499999999999999E-2</v>
      </c>
      <c r="F85" s="399">
        <v>0</v>
      </c>
      <c r="G85" s="399">
        <v>0</v>
      </c>
      <c r="H85" s="399">
        <v>0</v>
      </c>
      <c r="I85" s="399">
        <v>0</v>
      </c>
      <c r="J85" s="399">
        <v>0</v>
      </c>
      <c r="K85" s="399">
        <v>0</v>
      </c>
      <c r="L85" s="399">
        <v>0</v>
      </c>
      <c r="M85" s="399">
        <v>0</v>
      </c>
      <c r="N85" s="399">
        <v>1.7500000000000002E-2</v>
      </c>
      <c r="O85" s="399">
        <v>1.7500000000000002E-2</v>
      </c>
      <c r="P85" s="399">
        <v>1.7500000000000002E-2</v>
      </c>
      <c r="Q85" s="399">
        <v>1.7500000000000002E-2</v>
      </c>
      <c r="R85" s="399">
        <v>0.02</v>
      </c>
      <c r="S85" s="399">
        <v>2.2499999999999999E-2</v>
      </c>
      <c r="T85" s="399">
        <v>2.2499999999999999E-2</v>
      </c>
      <c r="U85" s="399">
        <v>2.2499999999999999E-2</v>
      </c>
      <c r="V85" s="402">
        <v>5</v>
      </c>
      <c r="W85" s="402" t="s">
        <v>812</v>
      </c>
      <c r="X85" s="727" t="s">
        <v>1566</v>
      </c>
      <c r="Y85" s="726"/>
      <c r="Z85" s="726"/>
      <c r="AA85" s="387">
        <f t="shared" si="9"/>
        <v>2011</v>
      </c>
    </row>
    <row r="86" spans="1:27" s="3" customFormat="1" x14ac:dyDescent="0.2">
      <c r="A86" s="402">
        <f t="shared" si="2"/>
        <v>84</v>
      </c>
      <c r="B86" s="401">
        <v>248</v>
      </c>
      <c r="C86" s="397" t="s">
        <v>1570</v>
      </c>
      <c r="D86" s="399">
        <f t="shared" si="7"/>
        <v>1.7500000000000002E-2</v>
      </c>
      <c r="E86" s="399">
        <f t="shared" si="8"/>
        <v>1.7500000000000002E-2</v>
      </c>
      <c r="F86" s="399">
        <v>0</v>
      </c>
      <c r="G86" s="399">
        <v>0</v>
      </c>
      <c r="H86" s="399">
        <v>0</v>
      </c>
      <c r="I86" s="399">
        <v>0</v>
      </c>
      <c r="J86" s="399">
        <v>0</v>
      </c>
      <c r="K86" s="399">
        <v>0</v>
      </c>
      <c r="L86" s="399">
        <v>0</v>
      </c>
      <c r="M86" s="399">
        <v>0</v>
      </c>
      <c r="N86" s="399">
        <v>0</v>
      </c>
      <c r="O86" s="399">
        <v>0</v>
      </c>
      <c r="P86" s="399">
        <v>0</v>
      </c>
      <c r="Q86" s="399">
        <v>1.7500000000000002E-2</v>
      </c>
      <c r="R86" s="399">
        <v>1.7500000000000002E-2</v>
      </c>
      <c r="S86" s="399">
        <v>1.7500000000000002E-2</v>
      </c>
      <c r="T86" s="399">
        <v>1.7500000000000002E-2</v>
      </c>
      <c r="U86" s="399">
        <v>1.7500000000000002E-2</v>
      </c>
      <c r="V86" s="402">
        <v>0</v>
      </c>
      <c r="W86" s="404" t="s">
        <v>687</v>
      </c>
      <c r="X86" s="727"/>
      <c r="Y86" s="726"/>
      <c r="Z86" s="726"/>
      <c r="AA86" s="387">
        <f t="shared" si="9"/>
        <v>2014</v>
      </c>
    </row>
    <row r="87" spans="1:27" s="3" customFormat="1" x14ac:dyDescent="0.2">
      <c r="A87" s="402">
        <f t="shared" si="2"/>
        <v>85</v>
      </c>
      <c r="B87" s="401">
        <v>271</v>
      </c>
      <c r="C87" s="397" t="s">
        <v>1309</v>
      </c>
      <c r="D87" s="399">
        <f t="shared" si="7"/>
        <v>5.0000000000000001E-3</v>
      </c>
      <c r="E87" s="399">
        <f t="shared" si="8"/>
        <v>5.0000000000000001E-3</v>
      </c>
      <c r="F87" s="399">
        <v>0</v>
      </c>
      <c r="G87" s="399">
        <v>0</v>
      </c>
      <c r="H87" s="399">
        <v>0</v>
      </c>
      <c r="I87" s="399">
        <v>0</v>
      </c>
      <c r="J87" s="399">
        <v>0</v>
      </c>
      <c r="K87" s="399">
        <v>5.0000000000000001E-3</v>
      </c>
      <c r="L87" s="399">
        <v>5.0000000000000001E-3</v>
      </c>
      <c r="M87" s="399">
        <v>5.0000000000000001E-3</v>
      </c>
      <c r="N87" s="399">
        <v>5.0000000000000001E-3</v>
      </c>
      <c r="O87" s="399">
        <v>5.0000000000000001E-3</v>
      </c>
      <c r="P87" s="399">
        <v>5.0000000000000001E-3</v>
      </c>
      <c r="Q87" s="399">
        <v>5.0000000000000001E-3</v>
      </c>
      <c r="R87" s="399">
        <v>5.0000000000000001E-3</v>
      </c>
      <c r="S87" s="399">
        <v>5.0000000000000001E-3</v>
      </c>
      <c r="T87" s="399">
        <v>5.0000000000000001E-3</v>
      </c>
      <c r="U87" s="399">
        <v>5.0000000000000001E-3</v>
      </c>
      <c r="V87" s="402">
        <v>0</v>
      </c>
      <c r="W87" s="402" t="s">
        <v>687</v>
      </c>
      <c r="X87" s="727"/>
      <c r="Y87" s="726"/>
      <c r="Z87" s="726"/>
      <c r="AA87" s="387">
        <f t="shared" si="9"/>
        <v>2008</v>
      </c>
    </row>
    <row r="88" spans="1:27" s="3" customFormat="1" x14ac:dyDescent="0.2">
      <c r="A88" s="402">
        <f t="shared" si="2"/>
        <v>86</v>
      </c>
      <c r="B88" s="401">
        <v>272</v>
      </c>
      <c r="C88" s="739" t="s">
        <v>1606</v>
      </c>
      <c r="D88" s="399">
        <f t="shared" si="7"/>
        <v>1.7500000000000002E-2</v>
      </c>
      <c r="E88" s="399">
        <f t="shared" si="8"/>
        <v>1.7500000000000002E-2</v>
      </c>
      <c r="F88" s="399">
        <v>0.01</v>
      </c>
      <c r="G88" s="399">
        <v>0.01</v>
      </c>
      <c r="H88" s="399">
        <v>1.7500000000000002E-2</v>
      </c>
      <c r="I88" s="399">
        <v>1.7500000000000002E-2</v>
      </c>
      <c r="J88" s="399">
        <v>1.7500000000000002E-2</v>
      </c>
      <c r="K88" s="399">
        <v>1.7500000000000002E-2</v>
      </c>
      <c r="L88" s="399">
        <v>1.7500000000000002E-2</v>
      </c>
      <c r="M88" s="399">
        <v>1.7500000000000002E-2</v>
      </c>
      <c r="N88" s="399">
        <v>1.7500000000000002E-2</v>
      </c>
      <c r="O88" s="399">
        <v>1.7500000000000002E-2</v>
      </c>
      <c r="P88" s="399">
        <v>1.7500000000000002E-2</v>
      </c>
      <c r="Q88" s="399">
        <v>1.7500000000000002E-2</v>
      </c>
      <c r="R88" s="399">
        <v>1.7500000000000002E-2</v>
      </c>
      <c r="S88" s="399">
        <v>1.7500000000000002E-2</v>
      </c>
      <c r="T88" s="399">
        <v>1.7500000000000002E-2</v>
      </c>
      <c r="U88" s="399">
        <v>1.7500000000000002E-2</v>
      </c>
      <c r="V88" s="402">
        <v>5</v>
      </c>
      <c r="W88" s="404" t="s">
        <v>812</v>
      </c>
      <c r="X88" s="727"/>
      <c r="Y88" s="726"/>
      <c r="Z88" s="726"/>
      <c r="AA88" s="387">
        <f t="shared" si="9"/>
        <v>1980</v>
      </c>
    </row>
    <row r="89" spans="1:27" s="3" customFormat="1" x14ac:dyDescent="0.2">
      <c r="A89" s="402">
        <f t="shared" si="2"/>
        <v>87</v>
      </c>
      <c r="B89" s="401">
        <v>269</v>
      </c>
      <c r="C89" s="397" t="s">
        <v>1572</v>
      </c>
      <c r="D89" s="399">
        <f t="shared" si="7"/>
        <v>0.02</v>
      </c>
      <c r="E89" s="399">
        <f t="shared" si="8"/>
        <v>0.02</v>
      </c>
      <c r="F89" s="399">
        <v>0.02</v>
      </c>
      <c r="G89" s="399">
        <v>0.02</v>
      </c>
      <c r="H89" s="399">
        <v>0.02</v>
      </c>
      <c r="I89" s="399">
        <v>0.02</v>
      </c>
      <c r="J89" s="399">
        <v>0.02</v>
      </c>
      <c r="K89" s="399">
        <v>0.02</v>
      </c>
      <c r="L89" s="399">
        <v>0.02</v>
      </c>
      <c r="M89" s="399">
        <v>0.02</v>
      </c>
      <c r="N89" s="399">
        <v>0.02</v>
      </c>
      <c r="O89" s="399">
        <v>0.02</v>
      </c>
      <c r="P89" s="399">
        <v>0.02</v>
      </c>
      <c r="Q89" s="399">
        <v>0.02</v>
      </c>
      <c r="R89" s="399">
        <v>0.02</v>
      </c>
      <c r="S89" s="399">
        <v>0.02</v>
      </c>
      <c r="T89" s="399">
        <v>0.02</v>
      </c>
      <c r="U89" s="399">
        <v>0.02</v>
      </c>
      <c r="V89" s="402">
        <v>5</v>
      </c>
      <c r="W89" s="402" t="s">
        <v>812</v>
      </c>
      <c r="X89" s="727"/>
      <c r="Y89" s="726"/>
      <c r="Z89" s="726"/>
      <c r="AA89" s="387">
        <f t="shared" si="9"/>
        <v>1980</v>
      </c>
    </row>
    <row r="90" spans="1:27" s="3" customFormat="1" x14ac:dyDescent="0.2">
      <c r="A90" s="402">
        <f t="shared" si="2"/>
        <v>88</v>
      </c>
      <c r="B90" s="401">
        <v>277</v>
      </c>
      <c r="C90" s="397" t="s">
        <v>839</v>
      </c>
      <c r="D90" s="399">
        <f t="shared" si="7"/>
        <v>2.2499999999999999E-2</v>
      </c>
      <c r="E90" s="399">
        <f t="shared" si="8"/>
        <v>2.2499999999999999E-2</v>
      </c>
      <c r="F90" s="399">
        <v>1.7500000000000002E-2</v>
      </c>
      <c r="G90" s="399">
        <v>1.7500000000000002E-2</v>
      </c>
      <c r="H90" s="399">
        <v>1.7500000000000002E-2</v>
      </c>
      <c r="I90" s="399">
        <v>1.7500000000000002E-2</v>
      </c>
      <c r="J90" s="399">
        <v>1.7500000000000002E-2</v>
      </c>
      <c r="K90" s="399">
        <v>1.7500000000000002E-2</v>
      </c>
      <c r="L90" s="399">
        <v>1.7500000000000002E-2</v>
      </c>
      <c r="M90" s="399">
        <v>1.7500000000000002E-2</v>
      </c>
      <c r="N90" s="399">
        <v>1.7500000000000002E-2</v>
      </c>
      <c r="O90" s="399">
        <v>1.7500000000000002E-2</v>
      </c>
      <c r="P90" s="399">
        <v>1.7500000000000002E-2</v>
      </c>
      <c r="Q90" s="399">
        <v>1.7500000000000002E-2</v>
      </c>
      <c r="R90" s="399">
        <v>0.02</v>
      </c>
      <c r="S90" s="399">
        <v>2.2499999999999999E-2</v>
      </c>
      <c r="T90" s="399">
        <v>2.2499999999999999E-2</v>
      </c>
      <c r="U90" s="399">
        <v>2.2499999999999999E-2</v>
      </c>
      <c r="V90" s="402">
        <v>5</v>
      </c>
      <c r="W90" s="402" t="s">
        <v>812</v>
      </c>
      <c r="X90" s="727" t="s">
        <v>1566</v>
      </c>
      <c r="Y90" s="726"/>
      <c r="Z90" s="726"/>
      <c r="AA90" s="387">
        <f t="shared" si="9"/>
        <v>1980</v>
      </c>
    </row>
    <row r="91" spans="1:27" s="3" customFormat="1" x14ac:dyDescent="0.2">
      <c r="A91" s="402">
        <f t="shared" si="2"/>
        <v>89</v>
      </c>
      <c r="B91" s="401">
        <v>282</v>
      </c>
      <c r="C91" s="397" t="s">
        <v>1484</v>
      </c>
      <c r="D91" s="399">
        <f t="shared" si="7"/>
        <v>2.2499999999999999E-2</v>
      </c>
      <c r="E91" s="399">
        <f t="shared" si="8"/>
        <v>2.2499999999999999E-2</v>
      </c>
      <c r="F91" s="399">
        <v>1.7500000000000002E-2</v>
      </c>
      <c r="G91" s="399">
        <v>1.7500000000000002E-2</v>
      </c>
      <c r="H91" s="399">
        <v>1.7500000000000002E-2</v>
      </c>
      <c r="I91" s="399">
        <v>1.7500000000000002E-2</v>
      </c>
      <c r="J91" s="399">
        <v>1.7500000000000002E-2</v>
      </c>
      <c r="K91" s="399">
        <v>1.7500000000000002E-2</v>
      </c>
      <c r="L91" s="399">
        <v>1.7500000000000002E-2</v>
      </c>
      <c r="M91" s="399">
        <v>1.7500000000000002E-2</v>
      </c>
      <c r="N91" s="399">
        <v>1.7500000000000002E-2</v>
      </c>
      <c r="O91" s="399">
        <v>1.7500000000000002E-2</v>
      </c>
      <c r="P91" s="399">
        <v>1.7500000000000002E-2</v>
      </c>
      <c r="Q91" s="399">
        <v>1.7500000000000002E-2</v>
      </c>
      <c r="R91" s="399">
        <v>0.02</v>
      </c>
      <c r="S91" s="399">
        <v>2.2499999999999999E-2</v>
      </c>
      <c r="T91" s="399">
        <v>2.2499999999999999E-2</v>
      </c>
      <c r="U91" s="399">
        <v>2.2499999999999999E-2</v>
      </c>
      <c r="V91" s="402">
        <v>5</v>
      </c>
      <c r="W91" s="402" t="s">
        <v>812</v>
      </c>
      <c r="X91" s="727" t="s">
        <v>1566</v>
      </c>
      <c r="Y91" s="726"/>
      <c r="Z91" s="726"/>
      <c r="AA91" s="387">
        <f t="shared" si="9"/>
        <v>1980</v>
      </c>
    </row>
    <row r="92" spans="1:27" x14ac:dyDescent="0.2">
      <c r="A92" s="402">
        <f t="shared" si="2"/>
        <v>90</v>
      </c>
      <c r="B92" s="396">
        <v>235</v>
      </c>
      <c r="C92" s="397" t="s">
        <v>1445</v>
      </c>
      <c r="D92" s="392">
        <f t="shared" si="7"/>
        <v>0.01</v>
      </c>
      <c r="E92" s="392">
        <f t="shared" si="8"/>
        <v>0.01</v>
      </c>
      <c r="F92" s="399">
        <v>0</v>
      </c>
      <c r="G92" s="399">
        <v>0</v>
      </c>
      <c r="H92" s="399">
        <v>0</v>
      </c>
      <c r="I92" s="399">
        <v>0</v>
      </c>
      <c r="J92" s="399">
        <v>0</v>
      </c>
      <c r="K92" s="399">
        <v>0</v>
      </c>
      <c r="L92" s="399">
        <v>0</v>
      </c>
      <c r="M92" s="399">
        <v>0</v>
      </c>
      <c r="N92" s="399">
        <v>0</v>
      </c>
      <c r="O92" s="399">
        <v>0</v>
      </c>
      <c r="P92" s="399">
        <v>0</v>
      </c>
      <c r="Q92" s="399">
        <v>0.01</v>
      </c>
      <c r="R92" s="399">
        <v>0.01</v>
      </c>
      <c r="S92" s="399">
        <v>0.01</v>
      </c>
      <c r="T92" s="399">
        <v>0.01</v>
      </c>
      <c r="U92" s="399">
        <v>0.01</v>
      </c>
      <c r="V92" s="402">
        <v>5</v>
      </c>
      <c r="W92" s="387" t="s">
        <v>812</v>
      </c>
      <c r="X92" s="596"/>
      <c r="Y92" s="395"/>
      <c r="Z92" s="395"/>
      <c r="AA92" s="387">
        <f t="shared" si="9"/>
        <v>2014</v>
      </c>
    </row>
    <row r="93" spans="1:27" x14ac:dyDescent="0.2">
      <c r="A93" s="402">
        <f t="shared" si="2"/>
        <v>91</v>
      </c>
      <c r="B93" s="396">
        <v>287</v>
      </c>
      <c r="C93" s="397" t="s">
        <v>73</v>
      </c>
      <c r="D93" s="392">
        <f t="shared" si="7"/>
        <v>1.4999999999999999E-2</v>
      </c>
      <c r="E93" s="392">
        <f t="shared" si="8"/>
        <v>1.4999999999999999E-2</v>
      </c>
      <c r="F93" s="399">
        <v>0.01</v>
      </c>
      <c r="G93" s="399">
        <v>1.4999999999999999E-2</v>
      </c>
      <c r="H93" s="399">
        <v>1.4999999999999999E-2</v>
      </c>
      <c r="I93" s="399">
        <v>1.4999999999999999E-2</v>
      </c>
      <c r="J93" s="399">
        <v>1.4999999999999999E-2</v>
      </c>
      <c r="K93" s="399">
        <v>1.4999999999999999E-2</v>
      </c>
      <c r="L93" s="399">
        <v>1.4999999999999999E-2</v>
      </c>
      <c r="M93" s="399">
        <v>1.4999999999999999E-2</v>
      </c>
      <c r="N93" s="399">
        <v>1.4999999999999999E-2</v>
      </c>
      <c r="O93" s="399">
        <v>1.4999999999999999E-2</v>
      </c>
      <c r="P93" s="399">
        <v>1.4999999999999999E-2</v>
      </c>
      <c r="Q93" s="399">
        <v>1.4999999999999999E-2</v>
      </c>
      <c r="R93" s="399">
        <v>1.4999999999999999E-2</v>
      </c>
      <c r="S93" s="399">
        <v>1.4999999999999999E-2</v>
      </c>
      <c r="T93" s="399">
        <v>1.4999999999999999E-2</v>
      </c>
      <c r="U93" s="399">
        <v>1.4999999999999999E-2</v>
      </c>
      <c r="V93" s="402">
        <v>0</v>
      </c>
      <c r="W93" s="391" t="s">
        <v>687</v>
      </c>
      <c r="X93" s="596"/>
      <c r="Y93" s="395"/>
      <c r="Z93" s="395"/>
      <c r="AA93" s="387">
        <f t="shared" si="9"/>
        <v>1980</v>
      </c>
    </row>
    <row r="94" spans="1:27" x14ac:dyDescent="0.2">
      <c r="A94" s="391">
        <f t="shared" si="2"/>
        <v>92</v>
      </c>
      <c r="B94" s="396">
        <v>291</v>
      </c>
      <c r="C94" s="394" t="s">
        <v>840</v>
      </c>
      <c r="D94" s="392">
        <f t="shared" si="7"/>
        <v>0.02</v>
      </c>
      <c r="E94" s="392">
        <f t="shared" si="8"/>
        <v>0.02</v>
      </c>
      <c r="F94" s="399">
        <v>0.02</v>
      </c>
      <c r="G94" s="399">
        <v>0.02</v>
      </c>
      <c r="H94" s="399">
        <v>0.02</v>
      </c>
      <c r="I94" s="399">
        <v>0.02</v>
      </c>
      <c r="J94" s="399">
        <v>0.02</v>
      </c>
      <c r="K94" s="399">
        <v>0.02</v>
      </c>
      <c r="L94" s="399">
        <v>0.02</v>
      </c>
      <c r="M94" s="399">
        <v>0.02</v>
      </c>
      <c r="N94" s="399">
        <v>0.02</v>
      </c>
      <c r="O94" s="399">
        <v>0.02</v>
      </c>
      <c r="P94" s="399">
        <v>0.02</v>
      </c>
      <c r="Q94" s="399">
        <v>0.02</v>
      </c>
      <c r="R94" s="399">
        <v>0.02</v>
      </c>
      <c r="S94" s="399">
        <v>0.02</v>
      </c>
      <c r="T94" s="399">
        <v>0.02</v>
      </c>
      <c r="U94" s="399">
        <v>0.02</v>
      </c>
      <c r="V94" s="402">
        <v>5</v>
      </c>
      <c r="W94" s="391" t="s">
        <v>812</v>
      </c>
      <c r="X94" s="596"/>
      <c r="Y94" s="395"/>
      <c r="Z94" s="395"/>
      <c r="AA94" s="387">
        <f t="shared" si="9"/>
        <v>1980</v>
      </c>
    </row>
    <row r="95" spans="1:27" x14ac:dyDescent="0.2">
      <c r="A95" s="391">
        <f t="shared" si="2"/>
        <v>93</v>
      </c>
      <c r="B95" s="401">
        <v>300</v>
      </c>
      <c r="C95" s="394" t="s">
        <v>841</v>
      </c>
      <c r="D95" s="392">
        <f t="shared" si="7"/>
        <v>0.02</v>
      </c>
      <c r="E95" s="392">
        <f t="shared" si="8"/>
        <v>0.02</v>
      </c>
      <c r="F95" s="398">
        <v>1.4999999999999999E-2</v>
      </c>
      <c r="G95" s="399">
        <v>0.02</v>
      </c>
      <c r="H95" s="399">
        <v>0.02</v>
      </c>
      <c r="I95" s="399">
        <v>0.02</v>
      </c>
      <c r="J95" s="399">
        <v>0.02</v>
      </c>
      <c r="K95" s="399">
        <v>0.02</v>
      </c>
      <c r="L95" s="399">
        <v>0.02</v>
      </c>
      <c r="M95" s="399">
        <v>0.02</v>
      </c>
      <c r="N95" s="399">
        <v>0.02</v>
      </c>
      <c r="O95" s="399">
        <v>0.02</v>
      </c>
      <c r="P95" s="399">
        <v>0.02</v>
      </c>
      <c r="Q95" s="399">
        <v>0.02</v>
      </c>
      <c r="R95" s="399">
        <v>0.02</v>
      </c>
      <c r="S95" s="399">
        <v>0.02</v>
      </c>
      <c r="T95" s="399">
        <v>0.02</v>
      </c>
      <c r="U95" s="399">
        <v>0.02</v>
      </c>
      <c r="V95" s="402">
        <v>5</v>
      </c>
      <c r="W95" s="391" t="s">
        <v>812</v>
      </c>
      <c r="X95" s="596"/>
      <c r="Y95" s="395"/>
      <c r="Z95" s="395"/>
      <c r="AA95" s="387">
        <f t="shared" si="9"/>
        <v>1980</v>
      </c>
    </row>
    <row r="96" spans="1:27" x14ac:dyDescent="0.2">
      <c r="A96" s="402">
        <f t="shared" si="2"/>
        <v>94</v>
      </c>
      <c r="B96" s="396">
        <v>295</v>
      </c>
      <c r="C96" s="738" t="s">
        <v>1607</v>
      </c>
      <c r="D96" s="392">
        <f t="shared" si="7"/>
        <v>1.4999999999999999E-2</v>
      </c>
      <c r="E96" s="392">
        <f t="shared" si="8"/>
        <v>1.4999999999999999E-2</v>
      </c>
      <c r="F96" s="399">
        <v>0</v>
      </c>
      <c r="G96" s="399">
        <v>1.4999999999999999E-2</v>
      </c>
      <c r="H96" s="399">
        <v>1.4999999999999999E-2</v>
      </c>
      <c r="I96" s="399">
        <v>1.4999999999999999E-2</v>
      </c>
      <c r="J96" s="399">
        <v>1.4999999999999999E-2</v>
      </c>
      <c r="K96" s="399">
        <v>1.4999999999999999E-2</v>
      </c>
      <c r="L96" s="399">
        <v>1.4999999999999999E-2</v>
      </c>
      <c r="M96" s="399">
        <v>1.4999999999999999E-2</v>
      </c>
      <c r="N96" s="399">
        <v>1.4999999999999999E-2</v>
      </c>
      <c r="O96" s="399">
        <v>1.4999999999999999E-2</v>
      </c>
      <c r="P96" s="399">
        <v>1.4999999999999999E-2</v>
      </c>
      <c r="Q96" s="399">
        <v>1.4999999999999999E-2</v>
      </c>
      <c r="R96" s="399">
        <v>1.4999999999999999E-2</v>
      </c>
      <c r="S96" s="399">
        <v>1.4999999999999999E-2</v>
      </c>
      <c r="T96" s="399">
        <v>1.4999999999999999E-2</v>
      </c>
      <c r="U96" s="399">
        <v>1.4999999999999999E-2</v>
      </c>
      <c r="V96" s="402">
        <v>0</v>
      </c>
      <c r="W96" s="391" t="s">
        <v>687</v>
      </c>
      <c r="X96" s="596"/>
      <c r="Y96" s="395"/>
      <c r="Z96" s="395"/>
      <c r="AA96" s="387">
        <f t="shared" si="9"/>
        <v>2004</v>
      </c>
    </row>
    <row r="97" spans="1:27" x14ac:dyDescent="0.2">
      <c r="A97" s="402">
        <f t="shared" si="2"/>
        <v>95</v>
      </c>
      <c r="B97" s="396">
        <v>296</v>
      </c>
      <c r="C97" s="738" t="s">
        <v>1608</v>
      </c>
      <c r="D97" s="392">
        <f t="shared" si="7"/>
        <v>0.01</v>
      </c>
      <c r="E97" s="392">
        <f t="shared" si="8"/>
        <v>0.01</v>
      </c>
      <c r="F97" s="399">
        <v>0</v>
      </c>
      <c r="G97" s="399">
        <v>0.01</v>
      </c>
      <c r="H97" s="399">
        <v>0.01</v>
      </c>
      <c r="I97" s="399">
        <v>0.01</v>
      </c>
      <c r="J97" s="399">
        <v>0.01</v>
      </c>
      <c r="K97" s="399">
        <v>0.01</v>
      </c>
      <c r="L97" s="399">
        <v>0.01</v>
      </c>
      <c r="M97" s="399">
        <v>0.01</v>
      </c>
      <c r="N97" s="399">
        <v>0.01</v>
      </c>
      <c r="O97" s="399">
        <v>0.01</v>
      </c>
      <c r="P97" s="399">
        <v>0.01</v>
      </c>
      <c r="Q97" s="399">
        <v>0.01</v>
      </c>
      <c r="R97" s="399">
        <v>0.01</v>
      </c>
      <c r="S97" s="399">
        <v>0.01</v>
      </c>
      <c r="T97" s="399">
        <v>0.01</v>
      </c>
      <c r="U97" s="399">
        <v>0.01</v>
      </c>
      <c r="V97" s="402">
        <v>5</v>
      </c>
      <c r="W97" s="391" t="s">
        <v>812</v>
      </c>
      <c r="X97" s="596"/>
      <c r="Y97" s="395"/>
      <c r="Z97" s="395"/>
      <c r="AA97" s="387">
        <f t="shared" si="9"/>
        <v>2004</v>
      </c>
    </row>
    <row r="98" spans="1:27" x14ac:dyDescent="0.2">
      <c r="A98" s="391">
        <f t="shared" si="2"/>
        <v>96</v>
      </c>
      <c r="B98" s="396">
        <v>304</v>
      </c>
      <c r="C98" s="394" t="s">
        <v>842</v>
      </c>
      <c r="D98" s="392">
        <f t="shared" si="7"/>
        <v>0.01</v>
      </c>
      <c r="E98" s="392">
        <f t="shared" si="8"/>
        <v>0.01</v>
      </c>
      <c r="F98" s="399">
        <v>0.01</v>
      </c>
      <c r="G98" s="399">
        <v>0.01</v>
      </c>
      <c r="H98" s="399">
        <v>0.01</v>
      </c>
      <c r="I98" s="399">
        <v>0.01</v>
      </c>
      <c r="J98" s="399">
        <v>0.01</v>
      </c>
      <c r="K98" s="399">
        <v>0.01</v>
      </c>
      <c r="L98" s="399">
        <v>0.01</v>
      </c>
      <c r="M98" s="399">
        <v>0.01</v>
      </c>
      <c r="N98" s="399">
        <v>0.01</v>
      </c>
      <c r="O98" s="399">
        <v>0.01</v>
      </c>
      <c r="P98" s="399">
        <v>0.01</v>
      </c>
      <c r="Q98" s="399">
        <v>0.01</v>
      </c>
      <c r="R98" s="399">
        <v>0.01</v>
      </c>
      <c r="S98" s="399">
        <v>0.01</v>
      </c>
      <c r="T98" s="399">
        <v>0.01</v>
      </c>
      <c r="U98" s="399">
        <v>0.01</v>
      </c>
      <c r="V98" s="402">
        <v>5</v>
      </c>
      <c r="W98" s="391" t="s">
        <v>812</v>
      </c>
      <c r="X98" s="596"/>
      <c r="Y98" s="395"/>
      <c r="Z98" s="395"/>
      <c r="AA98" s="387">
        <f t="shared" si="9"/>
        <v>1980</v>
      </c>
    </row>
    <row r="99" spans="1:27" s="3" customFormat="1" x14ac:dyDescent="0.2">
      <c r="A99" s="402">
        <f t="shared" si="2"/>
        <v>97</v>
      </c>
      <c r="B99" s="401">
        <v>305</v>
      </c>
      <c r="C99" s="397" t="s">
        <v>1573</v>
      </c>
      <c r="D99" s="399">
        <f t="shared" si="7"/>
        <v>0.02</v>
      </c>
      <c r="E99" s="399">
        <f t="shared" si="8"/>
        <v>0.02</v>
      </c>
      <c r="F99" s="399">
        <v>0.02</v>
      </c>
      <c r="G99" s="399">
        <v>0.02</v>
      </c>
      <c r="H99" s="399">
        <v>0.02</v>
      </c>
      <c r="I99" s="399">
        <v>0.02</v>
      </c>
      <c r="J99" s="399">
        <v>0.02</v>
      </c>
      <c r="K99" s="399">
        <v>0.02</v>
      </c>
      <c r="L99" s="399">
        <v>0.02</v>
      </c>
      <c r="M99" s="399">
        <v>0.02</v>
      </c>
      <c r="N99" s="399">
        <v>0.02</v>
      </c>
      <c r="O99" s="399">
        <v>0.02</v>
      </c>
      <c r="P99" s="399">
        <v>0.02</v>
      </c>
      <c r="Q99" s="399">
        <v>0.02</v>
      </c>
      <c r="R99" s="399">
        <v>0.02</v>
      </c>
      <c r="S99" s="399">
        <v>0.02</v>
      </c>
      <c r="T99" s="399">
        <v>0.02</v>
      </c>
      <c r="U99" s="399">
        <v>0.02</v>
      </c>
      <c r="V99" s="402">
        <v>0</v>
      </c>
      <c r="W99" s="402" t="s">
        <v>687</v>
      </c>
      <c r="X99" s="727"/>
      <c r="Y99" s="726"/>
      <c r="Z99" s="726"/>
      <c r="AA99" s="387">
        <f t="shared" si="9"/>
        <v>1980</v>
      </c>
    </row>
    <row r="100" spans="1:27" x14ac:dyDescent="0.2">
      <c r="A100" s="391">
        <f t="shared" ref="A100:A181" si="11">+A99+1</f>
        <v>98</v>
      </c>
      <c r="B100" s="396">
        <v>308</v>
      </c>
      <c r="C100" s="394" t="s">
        <v>1282</v>
      </c>
      <c r="D100" s="392">
        <f t="shared" si="7"/>
        <v>0.01</v>
      </c>
      <c r="E100" s="392">
        <f t="shared" si="8"/>
        <v>0.01</v>
      </c>
      <c r="F100" s="399">
        <v>0.01</v>
      </c>
      <c r="G100" s="399">
        <v>0.01</v>
      </c>
      <c r="H100" s="399">
        <v>0.01</v>
      </c>
      <c r="I100" s="399">
        <v>0.01</v>
      </c>
      <c r="J100" s="399">
        <v>0.01</v>
      </c>
      <c r="K100" s="399">
        <v>0.01</v>
      </c>
      <c r="L100" s="399">
        <v>0.01</v>
      </c>
      <c r="M100" s="399">
        <v>0.01</v>
      </c>
      <c r="N100" s="399">
        <v>0.01</v>
      </c>
      <c r="O100" s="399">
        <v>0.01</v>
      </c>
      <c r="P100" s="399">
        <v>0.01</v>
      </c>
      <c r="Q100" s="399">
        <v>0.01</v>
      </c>
      <c r="R100" s="399">
        <v>0.01</v>
      </c>
      <c r="S100" s="399">
        <v>0.01</v>
      </c>
      <c r="T100" s="399">
        <v>0.01</v>
      </c>
      <c r="U100" s="399">
        <v>0.01</v>
      </c>
      <c r="V100" s="402">
        <v>0</v>
      </c>
      <c r="W100" s="391" t="s">
        <v>687</v>
      </c>
      <c r="X100" s="596"/>
      <c r="Y100" s="395"/>
      <c r="Z100" s="395"/>
      <c r="AA100" s="387">
        <f t="shared" si="9"/>
        <v>1980</v>
      </c>
    </row>
    <row r="101" spans="1:27" x14ac:dyDescent="0.2">
      <c r="A101" s="391">
        <f t="shared" si="11"/>
        <v>99</v>
      </c>
      <c r="B101" s="396">
        <v>310</v>
      </c>
      <c r="C101" s="394" t="s">
        <v>843</v>
      </c>
      <c r="D101" s="392">
        <f t="shared" si="7"/>
        <v>1.4999999999999999E-2</v>
      </c>
      <c r="E101" s="392">
        <f t="shared" si="8"/>
        <v>1.4999999999999999E-2</v>
      </c>
      <c r="F101" s="399">
        <v>1.4999999999999999E-2</v>
      </c>
      <c r="G101" s="399">
        <v>1.4999999999999999E-2</v>
      </c>
      <c r="H101" s="399">
        <v>1.4999999999999999E-2</v>
      </c>
      <c r="I101" s="399">
        <v>1.4999999999999999E-2</v>
      </c>
      <c r="J101" s="399">
        <v>1.4999999999999999E-2</v>
      </c>
      <c r="K101" s="399">
        <v>1.4999999999999999E-2</v>
      </c>
      <c r="L101" s="399">
        <v>1.4999999999999999E-2</v>
      </c>
      <c r="M101" s="399">
        <v>1.4999999999999999E-2</v>
      </c>
      <c r="N101" s="399">
        <v>1.4999999999999999E-2</v>
      </c>
      <c r="O101" s="399">
        <v>1.4999999999999999E-2</v>
      </c>
      <c r="P101" s="399">
        <v>1.4999999999999999E-2</v>
      </c>
      <c r="Q101" s="399">
        <v>1.4999999999999999E-2</v>
      </c>
      <c r="R101" s="399">
        <v>1.4999999999999999E-2</v>
      </c>
      <c r="S101" s="399">
        <v>1.4999999999999999E-2</v>
      </c>
      <c r="T101" s="399">
        <v>1.4999999999999999E-2</v>
      </c>
      <c r="U101" s="399">
        <v>1.4999999999999999E-2</v>
      </c>
      <c r="V101" s="402">
        <v>0</v>
      </c>
      <c r="W101" s="391" t="s">
        <v>687</v>
      </c>
      <c r="X101" s="596"/>
      <c r="Y101" s="395"/>
      <c r="Z101" s="395"/>
      <c r="AA101" s="387">
        <f t="shared" si="9"/>
        <v>1980</v>
      </c>
    </row>
    <row r="102" spans="1:27" x14ac:dyDescent="0.2">
      <c r="A102" s="391">
        <f t="shared" si="11"/>
        <v>100</v>
      </c>
      <c r="B102" s="396">
        <v>316</v>
      </c>
      <c r="C102" s="394" t="s">
        <v>1178</v>
      </c>
      <c r="D102" s="392">
        <f t="shared" si="7"/>
        <v>1.4999999999999999E-2</v>
      </c>
      <c r="E102" s="392">
        <f t="shared" si="8"/>
        <v>1.4999999999999999E-2</v>
      </c>
      <c r="F102" s="399">
        <v>1.4999999999999999E-2</v>
      </c>
      <c r="G102" s="399">
        <v>1.4999999999999999E-2</v>
      </c>
      <c r="H102" s="399">
        <v>1.4999999999999999E-2</v>
      </c>
      <c r="I102" s="399">
        <v>1.4999999999999999E-2</v>
      </c>
      <c r="J102" s="399">
        <v>1.4999999999999999E-2</v>
      </c>
      <c r="K102" s="399">
        <v>1.4999999999999999E-2</v>
      </c>
      <c r="L102" s="399">
        <v>1.4999999999999999E-2</v>
      </c>
      <c r="M102" s="399">
        <v>1.4999999999999999E-2</v>
      </c>
      <c r="N102" s="399">
        <v>1.4999999999999999E-2</v>
      </c>
      <c r="O102" s="399">
        <v>1.4999999999999999E-2</v>
      </c>
      <c r="P102" s="399">
        <v>1.4999999999999999E-2</v>
      </c>
      <c r="Q102" s="399">
        <v>1.4999999999999999E-2</v>
      </c>
      <c r="R102" s="399">
        <v>1.4999999999999999E-2</v>
      </c>
      <c r="S102" s="399">
        <v>1.4999999999999999E-2</v>
      </c>
      <c r="T102" s="399">
        <v>1.4999999999999999E-2</v>
      </c>
      <c r="U102" s="399">
        <v>1.4999999999999999E-2</v>
      </c>
      <c r="V102" s="402">
        <v>0</v>
      </c>
      <c r="W102" s="391" t="s">
        <v>687</v>
      </c>
      <c r="X102" s="596"/>
      <c r="Y102" s="395"/>
      <c r="Z102" s="395"/>
      <c r="AA102" s="387">
        <f t="shared" si="9"/>
        <v>1980</v>
      </c>
    </row>
    <row r="103" spans="1:27" x14ac:dyDescent="0.2">
      <c r="A103" s="391">
        <f t="shared" si="11"/>
        <v>101</v>
      </c>
      <c r="B103" s="396">
        <v>319</v>
      </c>
      <c r="C103" s="394" t="s">
        <v>844</v>
      </c>
      <c r="D103" s="392">
        <f t="shared" si="7"/>
        <v>0.01</v>
      </c>
      <c r="E103" s="392">
        <f t="shared" si="8"/>
        <v>0.01</v>
      </c>
      <c r="F103" s="399">
        <v>0.01</v>
      </c>
      <c r="G103" s="399">
        <v>0.01</v>
      </c>
      <c r="H103" s="399">
        <v>0.01</v>
      </c>
      <c r="I103" s="399">
        <v>0.01</v>
      </c>
      <c r="J103" s="399">
        <v>0.01</v>
      </c>
      <c r="K103" s="399">
        <v>0.01</v>
      </c>
      <c r="L103" s="399">
        <v>0.01</v>
      </c>
      <c r="M103" s="399">
        <v>0.01</v>
      </c>
      <c r="N103" s="399">
        <v>0.01</v>
      </c>
      <c r="O103" s="399">
        <v>0.01</v>
      </c>
      <c r="P103" s="399">
        <v>0.01</v>
      </c>
      <c r="Q103" s="399">
        <v>0.01</v>
      </c>
      <c r="R103" s="399">
        <v>0.01</v>
      </c>
      <c r="S103" s="399">
        <v>0.01</v>
      </c>
      <c r="T103" s="399">
        <v>0.01</v>
      </c>
      <c r="U103" s="399">
        <v>0.01</v>
      </c>
      <c r="V103" s="402">
        <v>5</v>
      </c>
      <c r="W103" s="391" t="s">
        <v>812</v>
      </c>
      <c r="X103" s="596"/>
      <c r="Y103" s="395"/>
      <c r="Z103" s="395"/>
      <c r="AA103" s="387">
        <f t="shared" si="9"/>
        <v>1980</v>
      </c>
    </row>
    <row r="104" spans="1:27" x14ac:dyDescent="0.2">
      <c r="A104" s="391">
        <f t="shared" si="11"/>
        <v>102</v>
      </c>
      <c r="B104" s="396">
        <v>317</v>
      </c>
      <c r="C104" s="394" t="s">
        <v>845</v>
      </c>
      <c r="D104" s="392">
        <f t="shared" si="7"/>
        <v>0.02</v>
      </c>
      <c r="E104" s="392">
        <f t="shared" si="8"/>
        <v>0.02</v>
      </c>
      <c r="F104" s="399">
        <v>1.4999999999999999E-2</v>
      </c>
      <c r="G104" s="399">
        <v>1.4999999999999999E-2</v>
      </c>
      <c r="H104" s="399">
        <v>0.02</v>
      </c>
      <c r="I104" s="399">
        <v>0.02</v>
      </c>
      <c r="J104" s="399">
        <v>0.02</v>
      </c>
      <c r="K104" s="399">
        <v>0.02</v>
      </c>
      <c r="L104" s="399">
        <v>0.02</v>
      </c>
      <c r="M104" s="399">
        <v>0.02</v>
      </c>
      <c r="N104" s="399">
        <v>0.02</v>
      </c>
      <c r="O104" s="399">
        <v>0.02</v>
      </c>
      <c r="P104" s="399">
        <v>0.02</v>
      </c>
      <c r="Q104" s="399">
        <v>0.02</v>
      </c>
      <c r="R104" s="399">
        <v>0.02</v>
      </c>
      <c r="S104" s="399">
        <v>0.02</v>
      </c>
      <c r="T104" s="399">
        <v>0.02</v>
      </c>
      <c r="U104" s="399">
        <v>0.02</v>
      </c>
      <c r="V104" s="402">
        <v>0</v>
      </c>
      <c r="W104" s="391" t="s">
        <v>687</v>
      </c>
      <c r="X104" s="596"/>
      <c r="Y104" s="395"/>
      <c r="Z104" s="395"/>
      <c r="AA104" s="387">
        <f t="shared" si="9"/>
        <v>1980</v>
      </c>
    </row>
    <row r="105" spans="1:27" x14ac:dyDescent="0.2">
      <c r="A105" s="391">
        <f t="shared" si="11"/>
        <v>103</v>
      </c>
      <c r="B105" s="396">
        <v>320</v>
      </c>
      <c r="C105" s="394" t="s">
        <v>846</v>
      </c>
      <c r="D105" s="392">
        <f t="shared" si="7"/>
        <v>0.02</v>
      </c>
      <c r="E105" s="392">
        <f t="shared" si="8"/>
        <v>0.02</v>
      </c>
      <c r="F105" s="399">
        <v>0.02</v>
      </c>
      <c r="G105" s="399">
        <v>0.02</v>
      </c>
      <c r="H105" s="399">
        <v>0.02</v>
      </c>
      <c r="I105" s="399">
        <v>0.02</v>
      </c>
      <c r="J105" s="399">
        <v>0.02</v>
      </c>
      <c r="K105" s="399">
        <v>0.02</v>
      </c>
      <c r="L105" s="399">
        <v>0.02</v>
      </c>
      <c r="M105" s="399">
        <v>0.02</v>
      </c>
      <c r="N105" s="399">
        <v>0.02</v>
      </c>
      <c r="O105" s="399">
        <v>0.02</v>
      </c>
      <c r="P105" s="399">
        <v>0.02</v>
      </c>
      <c r="Q105" s="399">
        <v>0.02</v>
      </c>
      <c r="R105" s="399">
        <v>0.02</v>
      </c>
      <c r="S105" s="399">
        <v>0.02</v>
      </c>
      <c r="T105" s="399">
        <v>0.02</v>
      </c>
      <c r="U105" s="399">
        <v>0.02</v>
      </c>
      <c r="V105" s="402">
        <v>5</v>
      </c>
      <c r="W105" s="391" t="s">
        <v>812</v>
      </c>
      <c r="X105" s="596"/>
      <c r="Y105" s="395"/>
      <c r="Z105" s="395"/>
      <c r="AA105" s="387">
        <f t="shared" si="9"/>
        <v>1980</v>
      </c>
    </row>
    <row r="106" spans="1:27" s="3" customFormat="1" x14ac:dyDescent="0.2">
      <c r="A106" s="402">
        <f t="shared" si="11"/>
        <v>104</v>
      </c>
      <c r="B106" s="401">
        <v>679</v>
      </c>
      <c r="C106" s="739" t="s">
        <v>1596</v>
      </c>
      <c r="D106" s="399">
        <f t="shared" si="7"/>
        <v>0.01</v>
      </c>
      <c r="E106" s="399">
        <f t="shared" si="8"/>
        <v>0.01</v>
      </c>
      <c r="F106" s="399">
        <v>0</v>
      </c>
      <c r="G106" s="399">
        <v>0</v>
      </c>
      <c r="H106" s="399">
        <v>0</v>
      </c>
      <c r="I106" s="399">
        <v>0</v>
      </c>
      <c r="J106" s="399">
        <v>0</v>
      </c>
      <c r="K106" s="399">
        <v>0</v>
      </c>
      <c r="L106" s="399">
        <v>0</v>
      </c>
      <c r="M106" s="399">
        <v>0</v>
      </c>
      <c r="N106" s="399">
        <v>0</v>
      </c>
      <c r="O106" s="399">
        <v>0</v>
      </c>
      <c r="P106" s="399">
        <v>0</v>
      </c>
      <c r="Q106" s="399">
        <v>0</v>
      </c>
      <c r="R106" s="399">
        <v>0</v>
      </c>
      <c r="S106" s="399">
        <v>0.01</v>
      </c>
      <c r="T106" s="399">
        <v>0.01</v>
      </c>
      <c r="U106" s="399">
        <v>0.01</v>
      </c>
      <c r="V106" s="402">
        <v>5</v>
      </c>
      <c r="W106" s="402" t="s">
        <v>812</v>
      </c>
      <c r="X106" s="727"/>
      <c r="Y106" s="726"/>
      <c r="Z106" s="726"/>
      <c r="AA106" s="387">
        <f t="shared" si="9"/>
        <v>2016</v>
      </c>
    </row>
    <row r="107" spans="1:27" x14ac:dyDescent="0.2">
      <c r="A107" s="391">
        <f t="shared" si="11"/>
        <v>105</v>
      </c>
      <c r="B107" s="396">
        <v>346</v>
      </c>
      <c r="C107" s="394" t="s">
        <v>847</v>
      </c>
      <c r="D107" s="392">
        <f t="shared" si="7"/>
        <v>0.02</v>
      </c>
      <c r="E107" s="392">
        <f t="shared" si="8"/>
        <v>0.02</v>
      </c>
      <c r="F107" s="399">
        <v>0.02</v>
      </c>
      <c r="G107" s="399">
        <v>0.02</v>
      </c>
      <c r="H107" s="399">
        <v>0.02</v>
      </c>
      <c r="I107" s="399">
        <v>0.02</v>
      </c>
      <c r="J107" s="399">
        <v>0.02</v>
      </c>
      <c r="K107" s="399">
        <v>0.02</v>
      </c>
      <c r="L107" s="399">
        <v>0.02</v>
      </c>
      <c r="M107" s="399">
        <v>0.02</v>
      </c>
      <c r="N107" s="399">
        <v>0.02</v>
      </c>
      <c r="O107" s="399">
        <v>0.02</v>
      </c>
      <c r="P107" s="399">
        <v>0.02</v>
      </c>
      <c r="Q107" s="399">
        <v>0.02</v>
      </c>
      <c r="R107" s="399">
        <v>0.02</v>
      </c>
      <c r="S107" s="399">
        <v>0.02</v>
      </c>
      <c r="T107" s="399">
        <v>0.02</v>
      </c>
      <c r="U107" s="399">
        <v>0.02</v>
      </c>
      <c r="V107" s="402">
        <v>0</v>
      </c>
      <c r="W107" s="391" t="s">
        <v>687</v>
      </c>
      <c r="X107" s="391"/>
      <c r="Y107" s="395"/>
      <c r="Z107" s="395"/>
      <c r="AA107" s="387">
        <f t="shared" si="9"/>
        <v>1980</v>
      </c>
    </row>
    <row r="108" spans="1:27" x14ac:dyDescent="0.2">
      <c r="A108" s="391">
        <f t="shared" si="11"/>
        <v>106</v>
      </c>
      <c r="B108" s="396">
        <v>347</v>
      </c>
      <c r="C108" s="394" t="s">
        <v>848</v>
      </c>
      <c r="D108" s="392">
        <f t="shared" si="7"/>
        <v>0.02</v>
      </c>
      <c r="E108" s="392">
        <f t="shared" si="8"/>
        <v>0.02</v>
      </c>
      <c r="F108" s="399">
        <v>0.02</v>
      </c>
      <c r="G108" s="399">
        <v>0.02</v>
      </c>
      <c r="H108" s="399">
        <v>0.02</v>
      </c>
      <c r="I108" s="399">
        <v>0.02</v>
      </c>
      <c r="J108" s="399">
        <v>0.02</v>
      </c>
      <c r="K108" s="399">
        <v>0.02</v>
      </c>
      <c r="L108" s="399">
        <v>0.02</v>
      </c>
      <c r="M108" s="399">
        <v>0.02</v>
      </c>
      <c r="N108" s="399">
        <v>0.02</v>
      </c>
      <c r="O108" s="399">
        <v>0.02</v>
      </c>
      <c r="P108" s="399">
        <v>0.02</v>
      </c>
      <c r="Q108" s="399">
        <v>0.02</v>
      </c>
      <c r="R108" s="399">
        <v>0.02</v>
      </c>
      <c r="S108" s="399">
        <v>0.02</v>
      </c>
      <c r="T108" s="399">
        <v>0.02</v>
      </c>
      <c r="U108" s="399">
        <v>0.02</v>
      </c>
      <c r="V108" s="402">
        <v>5</v>
      </c>
      <c r="W108" s="391" t="s">
        <v>812</v>
      </c>
      <c r="X108" s="391"/>
      <c r="Y108" s="395"/>
      <c r="Z108" s="395"/>
      <c r="AA108" s="387">
        <f t="shared" si="9"/>
        <v>1980</v>
      </c>
    </row>
    <row r="109" spans="1:27" s="773" customFormat="1" x14ac:dyDescent="0.2">
      <c r="A109" s="764">
        <f t="shared" si="11"/>
        <v>107</v>
      </c>
      <c r="B109" s="774">
        <v>332</v>
      </c>
      <c r="C109" s="775" t="s">
        <v>1659</v>
      </c>
      <c r="D109" s="767">
        <f t="shared" si="7"/>
        <v>1.7000000000000001E-2</v>
      </c>
      <c r="E109" s="767">
        <f t="shared" si="8"/>
        <v>1.7000000000000001E-2</v>
      </c>
      <c r="F109" s="767">
        <v>1.7000000000000001E-2</v>
      </c>
      <c r="G109" s="767">
        <v>1.7000000000000001E-2</v>
      </c>
      <c r="H109" s="767">
        <v>1.7000000000000001E-2</v>
      </c>
      <c r="I109" s="767">
        <v>1.7000000000000001E-2</v>
      </c>
      <c r="J109" s="767">
        <v>1.7000000000000001E-2</v>
      </c>
      <c r="K109" s="767">
        <v>1.7000000000000001E-2</v>
      </c>
      <c r="L109" s="767">
        <v>1.7000000000000001E-2</v>
      </c>
      <c r="M109" s="767">
        <v>1.7000000000000001E-2</v>
      </c>
      <c r="N109" s="767">
        <v>1.7000000000000001E-2</v>
      </c>
      <c r="O109" s="767">
        <v>1.7000000000000001E-2</v>
      </c>
      <c r="P109" s="767">
        <v>1.7000000000000001E-2</v>
      </c>
      <c r="Q109" s="767">
        <v>1.7000000000000001E-2</v>
      </c>
      <c r="R109" s="767">
        <v>1.7000000000000001E-2</v>
      </c>
      <c r="S109" s="767">
        <v>1.7000000000000001E-2</v>
      </c>
      <c r="T109" s="767">
        <v>1.7000000000000001E-2</v>
      </c>
      <c r="U109" s="767">
        <v>1.7000000000000001E-2</v>
      </c>
      <c r="V109" s="764">
        <v>0</v>
      </c>
      <c r="W109" s="764" t="s">
        <v>687</v>
      </c>
      <c r="X109" s="764"/>
      <c r="Y109" s="776"/>
      <c r="Z109" s="776"/>
      <c r="AA109" s="772">
        <f t="shared" si="9"/>
        <v>1980</v>
      </c>
    </row>
    <row r="110" spans="1:27" x14ac:dyDescent="0.2">
      <c r="A110" s="391">
        <f t="shared" si="11"/>
        <v>108</v>
      </c>
      <c r="B110" s="396">
        <v>350</v>
      </c>
      <c r="C110" s="394" t="s">
        <v>708</v>
      </c>
      <c r="D110" s="392">
        <f t="shared" si="7"/>
        <v>1.4999999999999999E-2</v>
      </c>
      <c r="E110" s="392">
        <f t="shared" si="8"/>
        <v>1.4999999999999999E-2</v>
      </c>
      <c r="F110" s="399">
        <v>1.4999999999999999E-2</v>
      </c>
      <c r="G110" s="399">
        <v>1.4999999999999999E-2</v>
      </c>
      <c r="H110" s="399">
        <v>1.4999999999999999E-2</v>
      </c>
      <c r="I110" s="399">
        <v>1.4999999999999999E-2</v>
      </c>
      <c r="J110" s="399">
        <v>1.4999999999999999E-2</v>
      </c>
      <c r="K110" s="399">
        <v>1.4999999999999999E-2</v>
      </c>
      <c r="L110" s="399">
        <v>1.4999999999999999E-2</v>
      </c>
      <c r="M110" s="399">
        <v>1.4999999999999999E-2</v>
      </c>
      <c r="N110" s="399">
        <v>1.4999999999999999E-2</v>
      </c>
      <c r="O110" s="399">
        <v>1.4999999999999999E-2</v>
      </c>
      <c r="P110" s="399">
        <v>1.4999999999999999E-2</v>
      </c>
      <c r="Q110" s="399">
        <v>1.4999999999999999E-2</v>
      </c>
      <c r="R110" s="399">
        <v>1.4999999999999999E-2</v>
      </c>
      <c r="S110" s="399">
        <v>1.4999999999999999E-2</v>
      </c>
      <c r="T110" s="399">
        <v>1.4999999999999999E-2</v>
      </c>
      <c r="U110" s="399">
        <v>1.4999999999999999E-2</v>
      </c>
      <c r="V110" s="402">
        <v>0</v>
      </c>
      <c r="W110" s="391" t="s">
        <v>687</v>
      </c>
      <c r="X110" s="391"/>
      <c r="Y110" s="395"/>
      <c r="Z110" s="395"/>
      <c r="AA110" s="387">
        <f t="shared" si="9"/>
        <v>1980</v>
      </c>
    </row>
    <row r="111" spans="1:27" x14ac:dyDescent="0.2">
      <c r="A111" s="391">
        <f t="shared" si="11"/>
        <v>109</v>
      </c>
      <c r="B111" s="396">
        <v>357</v>
      </c>
      <c r="C111" s="394" t="s">
        <v>849</v>
      </c>
      <c r="D111" s="392">
        <f t="shared" si="7"/>
        <v>2.5000000000000001E-2</v>
      </c>
      <c r="E111" s="392">
        <f t="shared" si="8"/>
        <v>2.5000000000000001E-2</v>
      </c>
      <c r="F111" s="399">
        <v>0.02</v>
      </c>
      <c r="G111" s="399">
        <v>2.5000000000000001E-2</v>
      </c>
      <c r="H111" s="399">
        <v>2.5000000000000001E-2</v>
      </c>
      <c r="I111" s="399">
        <v>2.5000000000000001E-2</v>
      </c>
      <c r="J111" s="399">
        <v>2.5000000000000001E-2</v>
      </c>
      <c r="K111" s="399">
        <v>2.2499999999999999E-2</v>
      </c>
      <c r="L111" s="399">
        <v>2.5000000000000001E-2</v>
      </c>
      <c r="M111" s="399">
        <v>2.5000000000000001E-2</v>
      </c>
      <c r="N111" s="399">
        <v>2.5000000000000001E-2</v>
      </c>
      <c r="O111" s="399">
        <v>2.5000000000000001E-2</v>
      </c>
      <c r="P111" s="399">
        <v>2.5000000000000001E-2</v>
      </c>
      <c r="Q111" s="399">
        <v>2.5000000000000001E-2</v>
      </c>
      <c r="R111" s="399">
        <v>2.5000000000000001E-2</v>
      </c>
      <c r="S111" s="399">
        <v>2.5000000000000001E-2</v>
      </c>
      <c r="T111" s="399">
        <v>2.5000000000000001E-2</v>
      </c>
      <c r="U111" s="399">
        <v>2.5000000000000001E-2</v>
      </c>
      <c r="V111" s="402">
        <v>0</v>
      </c>
      <c r="W111" s="391" t="s">
        <v>687</v>
      </c>
      <c r="X111" s="620"/>
      <c r="Y111" s="395"/>
      <c r="Z111" s="395"/>
      <c r="AA111" s="387">
        <f t="shared" si="9"/>
        <v>1980</v>
      </c>
    </row>
    <row r="112" spans="1:27" x14ac:dyDescent="0.2">
      <c r="A112" s="391">
        <f t="shared" si="11"/>
        <v>110</v>
      </c>
      <c r="B112" s="396">
        <v>294</v>
      </c>
      <c r="C112" s="397" t="s">
        <v>507</v>
      </c>
      <c r="D112" s="392">
        <f t="shared" si="7"/>
        <v>0.01</v>
      </c>
      <c r="E112" s="392">
        <f t="shared" si="8"/>
        <v>0.01</v>
      </c>
      <c r="F112" s="399">
        <v>0</v>
      </c>
      <c r="G112" s="399">
        <v>0</v>
      </c>
      <c r="H112" s="399">
        <v>0</v>
      </c>
      <c r="I112" s="399">
        <v>0</v>
      </c>
      <c r="J112" s="399">
        <v>0</v>
      </c>
      <c r="K112" s="399">
        <v>0</v>
      </c>
      <c r="L112" s="399">
        <v>0</v>
      </c>
      <c r="M112" s="399">
        <v>0</v>
      </c>
      <c r="N112" s="399">
        <v>0</v>
      </c>
      <c r="O112" s="399">
        <v>0</v>
      </c>
      <c r="P112" s="399">
        <v>0.01</v>
      </c>
      <c r="Q112" s="399">
        <v>0.01</v>
      </c>
      <c r="R112" s="399">
        <v>0.01</v>
      </c>
      <c r="S112" s="399">
        <v>0.01</v>
      </c>
      <c r="T112" s="399">
        <v>0.01</v>
      </c>
      <c r="U112" s="399">
        <v>0.01</v>
      </c>
      <c r="V112" s="402">
        <v>5</v>
      </c>
      <c r="W112" s="402" t="s">
        <v>812</v>
      </c>
      <c r="X112" s="391"/>
      <c r="Y112" s="395"/>
      <c r="Z112" s="395"/>
      <c r="AA112" s="387">
        <f t="shared" si="9"/>
        <v>2013</v>
      </c>
    </row>
    <row r="113" spans="1:27" s="773" customFormat="1" x14ac:dyDescent="0.2">
      <c r="A113" s="764">
        <f t="shared" si="11"/>
        <v>111</v>
      </c>
      <c r="B113" s="774">
        <v>334</v>
      </c>
      <c r="C113" s="775" t="s">
        <v>1773</v>
      </c>
      <c r="D113" s="767">
        <f t="shared" si="7"/>
        <v>1.6250000000000001E-2</v>
      </c>
      <c r="E113" s="767">
        <f t="shared" si="8"/>
        <v>1.6250000000000001E-2</v>
      </c>
      <c r="F113" s="767">
        <v>1.6250000000000001E-2</v>
      </c>
      <c r="G113" s="767">
        <v>1.6250000000000001E-2</v>
      </c>
      <c r="H113" s="767">
        <v>1.6250000000000001E-2</v>
      </c>
      <c r="I113" s="767">
        <v>1.6250000000000001E-2</v>
      </c>
      <c r="J113" s="767">
        <v>1.6250000000000001E-2</v>
      </c>
      <c r="K113" s="767">
        <v>1.6250000000000001E-2</v>
      </c>
      <c r="L113" s="767">
        <v>1.6250000000000001E-2</v>
      </c>
      <c r="M113" s="767">
        <v>1.6250000000000001E-2</v>
      </c>
      <c r="N113" s="767">
        <v>1.6250000000000001E-2</v>
      </c>
      <c r="O113" s="767">
        <v>1.6250000000000001E-2</v>
      </c>
      <c r="P113" s="767">
        <v>1.6250000000000001E-2</v>
      </c>
      <c r="Q113" s="767">
        <v>1.6250000000000001E-2</v>
      </c>
      <c r="R113" s="767">
        <v>1.6250000000000001E-2</v>
      </c>
      <c r="S113" s="767">
        <v>1.6250000000000001E-2</v>
      </c>
      <c r="T113" s="767">
        <v>1.6250000000000001E-2</v>
      </c>
      <c r="U113" s="767">
        <v>1.6250000000000001E-2</v>
      </c>
      <c r="V113" s="764">
        <v>5</v>
      </c>
      <c r="W113" s="764" t="s">
        <v>812</v>
      </c>
      <c r="X113" s="764"/>
      <c r="Y113" s="776"/>
      <c r="Z113" s="776"/>
      <c r="AA113" s="772">
        <f t="shared" ref="AA113" si="12">_xlfn.IFNA(MATCH(0,F113:U113,1),-23) + F$2 -1</f>
        <v>1980</v>
      </c>
    </row>
    <row r="114" spans="1:27" x14ac:dyDescent="0.2">
      <c r="A114" s="391">
        <f t="shared" si="11"/>
        <v>112</v>
      </c>
      <c r="B114" s="396">
        <v>337</v>
      </c>
      <c r="C114" s="394" t="s">
        <v>955</v>
      </c>
      <c r="D114" s="392">
        <f t="shared" si="7"/>
        <v>1.4999999999999999E-2</v>
      </c>
      <c r="E114" s="392">
        <f t="shared" si="8"/>
        <v>1.4999999999999999E-2</v>
      </c>
      <c r="F114" s="399">
        <v>0</v>
      </c>
      <c r="G114" s="399">
        <v>0</v>
      </c>
      <c r="H114" s="399">
        <v>1.4999999999999999E-2</v>
      </c>
      <c r="I114" s="399">
        <v>1.4999999999999999E-2</v>
      </c>
      <c r="J114" s="399">
        <v>1.4999999999999999E-2</v>
      </c>
      <c r="K114" s="399">
        <v>1.4999999999999999E-2</v>
      </c>
      <c r="L114" s="399">
        <v>1.4999999999999999E-2</v>
      </c>
      <c r="M114" s="399">
        <v>1.4999999999999999E-2</v>
      </c>
      <c r="N114" s="399">
        <v>1.4999999999999999E-2</v>
      </c>
      <c r="O114" s="399">
        <v>1.4999999999999999E-2</v>
      </c>
      <c r="P114" s="399">
        <v>1.4999999999999999E-2</v>
      </c>
      <c r="Q114" s="399">
        <v>1.4999999999999999E-2</v>
      </c>
      <c r="R114" s="399">
        <v>1.4999999999999999E-2</v>
      </c>
      <c r="S114" s="399">
        <v>1.4999999999999999E-2</v>
      </c>
      <c r="T114" s="399">
        <v>1.4999999999999999E-2</v>
      </c>
      <c r="U114" s="399">
        <v>1.4999999999999999E-2</v>
      </c>
      <c r="V114" s="402">
        <v>3</v>
      </c>
      <c r="W114" s="391" t="s">
        <v>812</v>
      </c>
      <c r="X114" s="391"/>
      <c r="Y114" s="395"/>
      <c r="Z114" s="395"/>
      <c r="AA114" s="387">
        <f t="shared" si="9"/>
        <v>2005</v>
      </c>
    </row>
    <row r="115" spans="1:27" x14ac:dyDescent="0.2">
      <c r="A115" s="391">
        <f t="shared" si="11"/>
        <v>113</v>
      </c>
      <c r="B115" s="396">
        <v>358</v>
      </c>
      <c r="C115" s="394" t="s">
        <v>850</v>
      </c>
      <c r="D115" s="392">
        <f t="shared" si="7"/>
        <v>0.02</v>
      </c>
      <c r="E115" s="392">
        <f t="shared" si="8"/>
        <v>0.02</v>
      </c>
      <c r="F115" s="399">
        <v>0.02</v>
      </c>
      <c r="G115" s="399">
        <v>0.02</v>
      </c>
      <c r="H115" s="399">
        <v>0.02</v>
      </c>
      <c r="I115" s="399">
        <v>0.02</v>
      </c>
      <c r="J115" s="399">
        <v>0.02</v>
      </c>
      <c r="K115" s="399">
        <v>0.02</v>
      </c>
      <c r="L115" s="399">
        <v>0.02</v>
      </c>
      <c r="M115" s="399">
        <v>0.02</v>
      </c>
      <c r="N115" s="399">
        <v>0.02</v>
      </c>
      <c r="O115" s="399">
        <v>0.02</v>
      </c>
      <c r="P115" s="399">
        <v>0.02</v>
      </c>
      <c r="Q115" s="399">
        <v>0.02</v>
      </c>
      <c r="R115" s="399">
        <v>0.02</v>
      </c>
      <c r="S115" s="399">
        <v>0.02</v>
      </c>
      <c r="T115" s="399">
        <v>0.02</v>
      </c>
      <c r="U115" s="399">
        <v>0.02</v>
      </c>
      <c r="V115" s="402">
        <v>0</v>
      </c>
      <c r="W115" s="391" t="s">
        <v>687</v>
      </c>
      <c r="X115" s="391"/>
      <c r="Y115" s="395"/>
      <c r="Z115" s="395"/>
      <c r="AA115" s="387">
        <f t="shared" si="9"/>
        <v>1980</v>
      </c>
    </row>
    <row r="116" spans="1:27" s="773" customFormat="1" x14ac:dyDescent="0.2">
      <c r="A116" s="764">
        <f t="shared" si="11"/>
        <v>114</v>
      </c>
      <c r="B116" s="774">
        <v>361</v>
      </c>
      <c r="C116" s="775" t="s">
        <v>1660</v>
      </c>
      <c r="D116" s="767">
        <f t="shared" si="7"/>
        <v>0.02</v>
      </c>
      <c r="E116" s="767">
        <f t="shared" si="8"/>
        <v>0.02</v>
      </c>
      <c r="F116" s="767">
        <v>0.02</v>
      </c>
      <c r="G116" s="767">
        <v>0.02</v>
      </c>
      <c r="H116" s="767">
        <v>0.02</v>
      </c>
      <c r="I116" s="767">
        <v>0.02</v>
      </c>
      <c r="J116" s="767">
        <v>0.02</v>
      </c>
      <c r="K116" s="767">
        <v>0.02</v>
      </c>
      <c r="L116" s="767">
        <v>0.02</v>
      </c>
      <c r="M116" s="767">
        <v>0.02</v>
      </c>
      <c r="N116" s="767">
        <v>0.02</v>
      </c>
      <c r="O116" s="767">
        <v>0.02</v>
      </c>
      <c r="P116" s="767">
        <v>0.02</v>
      </c>
      <c r="Q116" s="767">
        <v>0.02</v>
      </c>
      <c r="R116" s="767">
        <v>0.02</v>
      </c>
      <c r="S116" s="767">
        <v>0.02</v>
      </c>
      <c r="T116" s="767">
        <v>0.02</v>
      </c>
      <c r="U116" s="767">
        <v>0.02</v>
      </c>
      <c r="V116" s="764">
        <v>0</v>
      </c>
      <c r="W116" s="764" t="s">
        <v>687</v>
      </c>
      <c r="X116" s="764"/>
      <c r="Y116" s="776"/>
      <c r="Z116" s="776"/>
      <c r="AA116" s="772">
        <f t="shared" si="9"/>
        <v>1980</v>
      </c>
    </row>
    <row r="117" spans="1:27" s="3" customFormat="1" x14ac:dyDescent="0.2">
      <c r="A117" s="402">
        <f t="shared" si="11"/>
        <v>115</v>
      </c>
      <c r="B117" s="401">
        <v>238</v>
      </c>
      <c r="C117" s="739" t="s">
        <v>1597</v>
      </c>
      <c r="D117" s="399">
        <f t="shared" si="7"/>
        <v>0.01</v>
      </c>
      <c r="E117" s="399">
        <f t="shared" si="8"/>
        <v>0.01</v>
      </c>
      <c r="F117" s="399">
        <v>0</v>
      </c>
      <c r="G117" s="399">
        <v>0</v>
      </c>
      <c r="H117" s="399">
        <v>0</v>
      </c>
      <c r="I117" s="399">
        <v>0</v>
      </c>
      <c r="J117" s="399">
        <v>0</v>
      </c>
      <c r="K117" s="399">
        <v>0</v>
      </c>
      <c r="L117" s="399">
        <v>0</v>
      </c>
      <c r="M117" s="399">
        <v>0</v>
      </c>
      <c r="N117" s="399">
        <v>0</v>
      </c>
      <c r="O117" s="399">
        <v>0</v>
      </c>
      <c r="P117" s="399">
        <v>0</v>
      </c>
      <c r="Q117" s="399">
        <v>0</v>
      </c>
      <c r="R117" s="399">
        <v>0</v>
      </c>
      <c r="S117" s="399">
        <v>0.01</v>
      </c>
      <c r="T117" s="399">
        <v>0.01</v>
      </c>
      <c r="U117" s="399">
        <v>0.01</v>
      </c>
      <c r="V117" s="402">
        <v>5</v>
      </c>
      <c r="W117" s="402" t="s">
        <v>812</v>
      </c>
      <c r="X117" s="402"/>
      <c r="Y117" s="726"/>
      <c r="Z117" s="726"/>
      <c r="AA117" s="387">
        <f t="shared" si="9"/>
        <v>2016</v>
      </c>
    </row>
    <row r="118" spans="1:27" s="773" customFormat="1" x14ac:dyDescent="0.2">
      <c r="A118" s="764">
        <f t="shared" si="11"/>
        <v>116</v>
      </c>
      <c r="B118" s="774">
        <v>325</v>
      </c>
      <c r="C118" s="775" t="s">
        <v>1661</v>
      </c>
      <c r="D118" s="767">
        <f t="shared" si="7"/>
        <v>0</v>
      </c>
      <c r="E118" s="767">
        <f t="shared" si="8"/>
        <v>0.01</v>
      </c>
      <c r="F118" s="767">
        <v>0</v>
      </c>
      <c r="G118" s="767">
        <v>0</v>
      </c>
      <c r="H118" s="767">
        <v>0</v>
      </c>
      <c r="I118" s="767">
        <v>0</v>
      </c>
      <c r="J118" s="767">
        <v>0</v>
      </c>
      <c r="K118" s="767">
        <v>0</v>
      </c>
      <c r="L118" s="767">
        <v>0</v>
      </c>
      <c r="M118" s="767">
        <v>0</v>
      </c>
      <c r="N118" s="767">
        <v>0</v>
      </c>
      <c r="O118" s="767">
        <v>0</v>
      </c>
      <c r="P118" s="767">
        <v>0</v>
      </c>
      <c r="Q118" s="767">
        <v>0</v>
      </c>
      <c r="R118" s="767">
        <v>0</v>
      </c>
      <c r="S118" s="767">
        <v>0</v>
      </c>
      <c r="T118" s="767">
        <v>0</v>
      </c>
      <c r="U118" s="767">
        <v>0.01</v>
      </c>
      <c r="V118" s="764">
        <v>3</v>
      </c>
      <c r="W118" s="764" t="s">
        <v>812</v>
      </c>
      <c r="X118" s="764"/>
      <c r="Y118" s="776"/>
      <c r="Z118" s="776"/>
      <c r="AA118" s="772">
        <f t="shared" si="9"/>
        <v>2018</v>
      </c>
    </row>
    <row r="119" spans="1:27" x14ac:dyDescent="0.2">
      <c r="A119" s="402">
        <f t="shared" si="11"/>
        <v>117</v>
      </c>
      <c r="B119" s="396">
        <v>339</v>
      </c>
      <c r="C119" s="394" t="s">
        <v>956</v>
      </c>
      <c r="D119" s="392">
        <f t="shared" si="7"/>
        <v>0.01</v>
      </c>
      <c r="E119" s="392">
        <f t="shared" si="8"/>
        <v>0.01</v>
      </c>
      <c r="F119" s="399">
        <v>0.01</v>
      </c>
      <c r="G119" s="399">
        <v>0.01</v>
      </c>
      <c r="H119" s="399">
        <v>0.01</v>
      </c>
      <c r="I119" s="399">
        <v>0.01</v>
      </c>
      <c r="J119" s="399">
        <v>0.01</v>
      </c>
      <c r="K119" s="399">
        <v>0.01</v>
      </c>
      <c r="L119" s="399">
        <v>0.01</v>
      </c>
      <c r="M119" s="399">
        <v>0.01</v>
      </c>
      <c r="N119" s="399">
        <v>0.01</v>
      </c>
      <c r="O119" s="399">
        <v>0.01</v>
      </c>
      <c r="P119" s="399">
        <v>0.01</v>
      </c>
      <c r="Q119" s="399">
        <v>0.01</v>
      </c>
      <c r="R119" s="399">
        <v>0.01</v>
      </c>
      <c r="S119" s="399">
        <v>0.01</v>
      </c>
      <c r="T119" s="399">
        <v>0.01</v>
      </c>
      <c r="U119" s="399">
        <v>0.01</v>
      </c>
      <c r="V119" s="402">
        <v>3</v>
      </c>
      <c r="W119" s="391" t="s">
        <v>812</v>
      </c>
      <c r="X119" s="391"/>
      <c r="Y119" s="395"/>
      <c r="Z119" s="395"/>
      <c r="AA119" s="387">
        <f t="shared" si="9"/>
        <v>1980</v>
      </c>
    </row>
    <row r="120" spans="1:27" x14ac:dyDescent="0.2">
      <c r="A120" s="391">
        <f t="shared" si="11"/>
        <v>118</v>
      </c>
      <c r="B120" s="396">
        <v>329</v>
      </c>
      <c r="C120" s="394" t="s">
        <v>1469</v>
      </c>
      <c r="D120" s="392">
        <f t="shared" si="7"/>
        <v>0.01</v>
      </c>
      <c r="E120" s="392">
        <f t="shared" si="8"/>
        <v>0.01</v>
      </c>
      <c r="F120" s="399">
        <v>0.01</v>
      </c>
      <c r="G120" s="399">
        <v>0.01</v>
      </c>
      <c r="H120" s="399">
        <v>0.01</v>
      </c>
      <c r="I120" s="399">
        <v>0.01</v>
      </c>
      <c r="J120" s="399">
        <v>0.01</v>
      </c>
      <c r="K120" s="399">
        <v>0.01</v>
      </c>
      <c r="L120" s="399">
        <v>0.01</v>
      </c>
      <c r="M120" s="399">
        <v>0.01</v>
      </c>
      <c r="N120" s="399">
        <v>0.01</v>
      </c>
      <c r="O120" s="399">
        <v>0.01</v>
      </c>
      <c r="P120" s="399">
        <v>0.01</v>
      </c>
      <c r="Q120" s="399">
        <v>0.01</v>
      </c>
      <c r="R120" s="399">
        <v>0.01</v>
      </c>
      <c r="S120" s="399">
        <v>0.01</v>
      </c>
      <c r="T120" s="399">
        <v>0.01</v>
      </c>
      <c r="U120" s="399">
        <v>0.01</v>
      </c>
      <c r="V120" s="402">
        <v>3</v>
      </c>
      <c r="W120" s="391" t="s">
        <v>812</v>
      </c>
      <c r="X120" s="391"/>
      <c r="Y120" s="395"/>
      <c r="Z120" s="395"/>
      <c r="AA120" s="387">
        <f t="shared" si="9"/>
        <v>1980</v>
      </c>
    </row>
    <row r="121" spans="1:27" x14ac:dyDescent="0.2">
      <c r="A121" s="391">
        <f t="shared" si="11"/>
        <v>119</v>
      </c>
      <c r="B121" s="396">
        <v>326</v>
      </c>
      <c r="C121" s="394" t="s">
        <v>1068</v>
      </c>
      <c r="D121" s="392">
        <f t="shared" si="7"/>
        <v>0.01</v>
      </c>
      <c r="E121" s="392">
        <f t="shared" si="8"/>
        <v>0.01</v>
      </c>
      <c r="F121" s="399">
        <v>0</v>
      </c>
      <c r="G121" s="399">
        <v>0</v>
      </c>
      <c r="H121" s="399">
        <v>0</v>
      </c>
      <c r="I121" s="399">
        <v>0</v>
      </c>
      <c r="J121" s="399">
        <v>0</v>
      </c>
      <c r="K121" s="399">
        <v>0</v>
      </c>
      <c r="L121" s="399">
        <v>0</v>
      </c>
      <c r="M121" s="399">
        <v>0</v>
      </c>
      <c r="N121" s="399">
        <v>0.01</v>
      </c>
      <c r="O121" s="399">
        <v>0.01</v>
      </c>
      <c r="P121" s="399">
        <v>0.01</v>
      </c>
      <c r="Q121" s="399">
        <v>0.01</v>
      </c>
      <c r="R121" s="399">
        <v>0.01</v>
      </c>
      <c r="S121" s="399">
        <v>0.01</v>
      </c>
      <c r="T121" s="399">
        <v>0.01</v>
      </c>
      <c r="U121" s="399">
        <v>0.01</v>
      </c>
      <c r="V121" s="402">
        <v>5</v>
      </c>
      <c r="W121" s="391" t="s">
        <v>812</v>
      </c>
      <c r="X121" s="391"/>
      <c r="Y121" s="395"/>
      <c r="Z121" s="395"/>
      <c r="AA121" s="387">
        <f t="shared" si="9"/>
        <v>2011</v>
      </c>
    </row>
    <row r="122" spans="1:27" x14ac:dyDescent="0.2">
      <c r="A122" s="391">
        <f t="shared" si="11"/>
        <v>120</v>
      </c>
      <c r="B122" s="396">
        <v>364</v>
      </c>
      <c r="C122" s="394" t="s">
        <v>851</v>
      </c>
      <c r="D122" s="392">
        <f t="shared" si="7"/>
        <v>0.01</v>
      </c>
      <c r="E122" s="392">
        <f t="shared" si="8"/>
        <v>0.01</v>
      </c>
      <c r="F122" s="399">
        <v>0.01</v>
      </c>
      <c r="G122" s="399">
        <v>0.01</v>
      </c>
      <c r="H122" s="399">
        <v>0.01</v>
      </c>
      <c r="I122" s="399">
        <v>0.01</v>
      </c>
      <c r="J122" s="399">
        <v>0.01</v>
      </c>
      <c r="K122" s="399">
        <v>0.01</v>
      </c>
      <c r="L122" s="399">
        <v>0.01</v>
      </c>
      <c r="M122" s="399">
        <v>0.01</v>
      </c>
      <c r="N122" s="399">
        <v>0.01</v>
      </c>
      <c r="O122" s="399">
        <v>0.01</v>
      </c>
      <c r="P122" s="399">
        <v>0.01</v>
      </c>
      <c r="Q122" s="399">
        <v>0.01</v>
      </c>
      <c r="R122" s="399">
        <v>0.01</v>
      </c>
      <c r="S122" s="399">
        <v>0.01</v>
      </c>
      <c r="T122" s="399">
        <v>0.01</v>
      </c>
      <c r="U122" s="399">
        <v>0.01</v>
      </c>
      <c r="V122" s="402">
        <v>5</v>
      </c>
      <c r="W122" s="391" t="s">
        <v>812</v>
      </c>
      <c r="X122" s="391"/>
      <c r="Y122" s="395"/>
      <c r="Z122" s="395"/>
      <c r="AA122" s="387">
        <f t="shared" si="9"/>
        <v>1980</v>
      </c>
    </row>
    <row r="123" spans="1:27" x14ac:dyDescent="0.2">
      <c r="A123" s="391">
        <f t="shared" si="11"/>
        <v>121</v>
      </c>
      <c r="B123" s="396">
        <v>370</v>
      </c>
      <c r="C123" s="394" t="s">
        <v>852</v>
      </c>
      <c r="D123" s="392">
        <f t="shared" si="7"/>
        <v>0.02</v>
      </c>
      <c r="E123" s="392">
        <f t="shared" si="8"/>
        <v>0.02</v>
      </c>
      <c r="F123" s="399">
        <v>1.4999999999999999E-2</v>
      </c>
      <c r="G123" s="399">
        <v>1.4999999999999999E-2</v>
      </c>
      <c r="H123" s="399">
        <v>1.4999999999999999E-2</v>
      </c>
      <c r="I123" s="399">
        <v>0.02</v>
      </c>
      <c r="J123" s="399">
        <v>0.02</v>
      </c>
      <c r="K123" s="399">
        <v>0.02</v>
      </c>
      <c r="L123" s="399">
        <v>0.02</v>
      </c>
      <c r="M123" s="399">
        <v>0.02</v>
      </c>
      <c r="N123" s="399">
        <v>0.02</v>
      </c>
      <c r="O123" s="399">
        <v>0.02</v>
      </c>
      <c r="P123" s="399">
        <v>0.02</v>
      </c>
      <c r="Q123" s="399">
        <v>0.02</v>
      </c>
      <c r="R123" s="399">
        <v>0.02</v>
      </c>
      <c r="S123" s="399">
        <v>0.02</v>
      </c>
      <c r="T123" s="399">
        <v>0.02</v>
      </c>
      <c r="U123" s="399">
        <v>0.02</v>
      </c>
      <c r="V123" s="402">
        <v>5</v>
      </c>
      <c r="W123" s="391" t="s">
        <v>812</v>
      </c>
      <c r="X123" s="391"/>
      <c r="Y123" s="395"/>
      <c r="Z123" s="395"/>
      <c r="AA123" s="387">
        <f t="shared" si="9"/>
        <v>1980</v>
      </c>
    </row>
    <row r="124" spans="1:27" x14ac:dyDescent="0.2">
      <c r="A124" s="391">
        <f t="shared" si="11"/>
        <v>122</v>
      </c>
      <c r="B124" s="396">
        <v>371</v>
      </c>
      <c r="C124" s="397" t="s">
        <v>68</v>
      </c>
      <c r="D124" s="392">
        <f t="shared" si="7"/>
        <v>0.02</v>
      </c>
      <c r="E124" s="392">
        <f t="shared" si="8"/>
        <v>0.02</v>
      </c>
      <c r="F124" s="399">
        <v>0.02</v>
      </c>
      <c r="G124" s="399">
        <v>0.02</v>
      </c>
      <c r="H124" s="399">
        <v>0.02</v>
      </c>
      <c r="I124" s="399">
        <v>0.02</v>
      </c>
      <c r="J124" s="399">
        <v>0.02</v>
      </c>
      <c r="K124" s="399">
        <v>0.02</v>
      </c>
      <c r="L124" s="399">
        <v>0.02</v>
      </c>
      <c r="M124" s="399">
        <v>0.02</v>
      </c>
      <c r="N124" s="399">
        <v>0.02</v>
      </c>
      <c r="O124" s="399">
        <v>0.02</v>
      </c>
      <c r="P124" s="399">
        <v>0.02</v>
      </c>
      <c r="Q124" s="399">
        <v>0.02</v>
      </c>
      <c r="R124" s="399">
        <v>0.02</v>
      </c>
      <c r="S124" s="399">
        <v>0.02</v>
      </c>
      <c r="T124" s="399">
        <v>0.02</v>
      </c>
      <c r="U124" s="399">
        <v>0.02</v>
      </c>
      <c r="V124" s="402">
        <v>0</v>
      </c>
      <c r="W124" s="391" t="s">
        <v>687</v>
      </c>
      <c r="X124" s="391"/>
      <c r="Y124" s="395"/>
      <c r="Z124" s="395"/>
      <c r="AA124" s="387">
        <f t="shared" si="9"/>
        <v>1980</v>
      </c>
    </row>
    <row r="125" spans="1:27" x14ac:dyDescent="0.2">
      <c r="A125" s="391">
        <f t="shared" si="11"/>
        <v>123</v>
      </c>
      <c r="B125" s="396">
        <v>375</v>
      </c>
      <c r="C125" s="397" t="s">
        <v>1438</v>
      </c>
      <c r="D125" s="392">
        <f t="shared" si="7"/>
        <v>2.1250000000000002E-2</v>
      </c>
      <c r="E125" s="392">
        <f t="shared" si="8"/>
        <v>2.2499999999999999E-2</v>
      </c>
      <c r="F125" s="399">
        <v>0.02</v>
      </c>
      <c r="G125" s="399">
        <v>0.02</v>
      </c>
      <c r="H125" s="399">
        <v>0.02</v>
      </c>
      <c r="I125" s="399">
        <v>0.02</v>
      </c>
      <c r="J125" s="399">
        <v>0.02</v>
      </c>
      <c r="K125" s="399">
        <v>0.02</v>
      </c>
      <c r="L125" s="399">
        <v>0.02</v>
      </c>
      <c r="M125" s="399">
        <v>0.02</v>
      </c>
      <c r="N125" s="399">
        <v>0.02</v>
      </c>
      <c r="O125" s="399">
        <v>0.02</v>
      </c>
      <c r="P125" s="399">
        <v>0.02</v>
      </c>
      <c r="Q125" s="399">
        <v>0.02</v>
      </c>
      <c r="R125" s="399">
        <v>0.02</v>
      </c>
      <c r="S125" s="399">
        <v>0.02</v>
      </c>
      <c r="T125" s="399">
        <v>2.1250000000000002E-2</v>
      </c>
      <c r="U125" s="399">
        <v>2.2499999999999999E-2</v>
      </c>
      <c r="V125" s="402">
        <v>0</v>
      </c>
      <c r="W125" s="391" t="s">
        <v>687</v>
      </c>
      <c r="X125" s="619" t="s">
        <v>1654</v>
      </c>
      <c r="Y125" s="395"/>
      <c r="Z125" s="395"/>
      <c r="AA125" s="387">
        <f t="shared" si="9"/>
        <v>1980</v>
      </c>
    </row>
    <row r="126" spans="1:27" x14ac:dyDescent="0.2">
      <c r="A126" s="391">
        <f t="shared" si="11"/>
        <v>124</v>
      </c>
      <c r="B126" s="396">
        <v>381</v>
      </c>
      <c r="C126" s="397" t="s">
        <v>1491</v>
      </c>
      <c r="D126" s="392">
        <f t="shared" si="7"/>
        <v>2.2499999999999999E-2</v>
      </c>
      <c r="E126" s="392">
        <f t="shared" si="8"/>
        <v>2.2499999999999999E-2</v>
      </c>
      <c r="F126" s="399">
        <v>2.2499999999999999E-2</v>
      </c>
      <c r="G126" s="399">
        <v>2.2499999999999999E-2</v>
      </c>
      <c r="H126" s="399">
        <v>2.2499999999999999E-2</v>
      </c>
      <c r="I126" s="399">
        <v>2.2499999999999999E-2</v>
      </c>
      <c r="J126" s="399">
        <v>2.2499999999999999E-2</v>
      </c>
      <c r="K126" s="399">
        <v>2.2499999999999999E-2</v>
      </c>
      <c r="L126" s="399">
        <v>2.2499999999999999E-2</v>
      </c>
      <c r="M126" s="399">
        <v>2.2499999999999999E-2</v>
      </c>
      <c r="N126" s="399">
        <v>2.2499999999999999E-2</v>
      </c>
      <c r="O126" s="399">
        <v>2.2499999999999999E-2</v>
      </c>
      <c r="P126" s="399">
        <v>2.2499999999999999E-2</v>
      </c>
      <c r="Q126" s="399">
        <v>2.2499999999999999E-2</v>
      </c>
      <c r="R126" s="399">
        <v>2.2499999999999999E-2</v>
      </c>
      <c r="S126" s="399">
        <v>2.2499999999999999E-2</v>
      </c>
      <c r="T126" s="399">
        <v>2.2499999999999999E-2</v>
      </c>
      <c r="U126" s="399">
        <v>2.2499999999999999E-2</v>
      </c>
      <c r="V126" s="402">
        <v>5</v>
      </c>
      <c r="W126" s="391" t="s">
        <v>812</v>
      </c>
      <c r="X126" s="391"/>
      <c r="Y126" s="395"/>
      <c r="Z126" s="395"/>
      <c r="AA126" s="387">
        <f t="shared" si="9"/>
        <v>1980</v>
      </c>
    </row>
    <row r="127" spans="1:27" s="3" customFormat="1" x14ac:dyDescent="0.2">
      <c r="A127" s="402">
        <f t="shared" si="11"/>
        <v>125</v>
      </c>
      <c r="B127" s="401">
        <v>244</v>
      </c>
      <c r="C127" s="397" t="s">
        <v>1492</v>
      </c>
      <c r="D127" s="399">
        <f t="shared" si="7"/>
        <v>1.4999999999999999E-2</v>
      </c>
      <c r="E127" s="392">
        <f t="shared" si="8"/>
        <v>1.4999999999999999E-2</v>
      </c>
      <c r="F127" s="399">
        <v>0</v>
      </c>
      <c r="G127" s="399">
        <v>0</v>
      </c>
      <c r="H127" s="399">
        <v>0</v>
      </c>
      <c r="I127" s="399">
        <v>0</v>
      </c>
      <c r="J127" s="399">
        <v>0</v>
      </c>
      <c r="K127" s="399">
        <v>0</v>
      </c>
      <c r="L127" s="399">
        <v>0</v>
      </c>
      <c r="M127" s="399">
        <v>0</v>
      </c>
      <c r="N127" s="399">
        <v>0</v>
      </c>
      <c r="O127" s="399">
        <v>0</v>
      </c>
      <c r="P127" s="399">
        <v>0</v>
      </c>
      <c r="Q127" s="399">
        <v>7.5000000000000002E-4</v>
      </c>
      <c r="R127" s="399">
        <v>1.4999999999999999E-2</v>
      </c>
      <c r="S127" s="399">
        <v>1.4999999999999999E-2</v>
      </c>
      <c r="T127" s="399">
        <v>1.4999999999999999E-2</v>
      </c>
      <c r="U127" s="399">
        <v>1.4999999999999999E-2</v>
      </c>
      <c r="V127" s="402">
        <v>5</v>
      </c>
      <c r="W127" s="402" t="s">
        <v>812</v>
      </c>
      <c r="X127" s="727" t="s">
        <v>1489</v>
      </c>
      <c r="Y127" s="726"/>
      <c r="Z127" s="726"/>
      <c r="AA127" s="387">
        <f t="shared" si="9"/>
        <v>2014</v>
      </c>
    </row>
    <row r="128" spans="1:27" x14ac:dyDescent="0.2">
      <c r="A128" s="391">
        <f t="shared" si="11"/>
        <v>126</v>
      </c>
      <c r="B128" s="396">
        <v>431</v>
      </c>
      <c r="C128" s="397" t="s">
        <v>495</v>
      </c>
      <c r="D128" s="392">
        <f t="shared" si="7"/>
        <v>0.01</v>
      </c>
      <c r="E128" s="392">
        <f t="shared" si="8"/>
        <v>0.01</v>
      </c>
      <c r="F128" s="398">
        <v>0.01</v>
      </c>
      <c r="G128" s="398">
        <v>0.01</v>
      </c>
      <c r="H128" s="398">
        <v>0.01</v>
      </c>
      <c r="I128" s="398">
        <v>0.01</v>
      </c>
      <c r="J128" s="398">
        <v>0.01</v>
      </c>
      <c r="K128" s="398">
        <v>0.01</v>
      </c>
      <c r="L128" s="398">
        <v>0.01</v>
      </c>
      <c r="M128" s="398">
        <v>0.01</v>
      </c>
      <c r="N128" s="398">
        <v>0.01</v>
      </c>
      <c r="O128" s="398">
        <v>0.01</v>
      </c>
      <c r="P128" s="398">
        <v>0.01</v>
      </c>
      <c r="Q128" s="398">
        <v>0.01</v>
      </c>
      <c r="R128" s="398">
        <v>0.01</v>
      </c>
      <c r="S128" s="398">
        <v>0.01</v>
      </c>
      <c r="T128" s="398">
        <v>0.01</v>
      </c>
      <c r="U128" s="398">
        <v>0.01</v>
      </c>
      <c r="V128" s="402">
        <v>5</v>
      </c>
      <c r="W128" s="402" t="s">
        <v>812</v>
      </c>
      <c r="X128" s="391"/>
      <c r="Y128" s="395"/>
      <c r="Z128" s="395"/>
      <c r="AA128" s="387">
        <f t="shared" si="9"/>
        <v>1980</v>
      </c>
    </row>
    <row r="129" spans="1:27" x14ac:dyDescent="0.2">
      <c r="A129" s="391">
        <f t="shared" si="11"/>
        <v>127</v>
      </c>
      <c r="B129" s="396">
        <v>378</v>
      </c>
      <c r="C129" s="394" t="s">
        <v>853</v>
      </c>
      <c r="D129" s="392">
        <f t="shared" si="7"/>
        <v>0.02</v>
      </c>
      <c r="E129" s="392">
        <f t="shared" si="8"/>
        <v>0.02</v>
      </c>
      <c r="F129" s="398">
        <v>0.01</v>
      </c>
      <c r="G129" s="399">
        <v>0.02</v>
      </c>
      <c r="H129" s="399">
        <v>0.02</v>
      </c>
      <c r="I129" s="399">
        <v>0.02</v>
      </c>
      <c r="J129" s="399">
        <v>0.02</v>
      </c>
      <c r="K129" s="399">
        <v>0.02</v>
      </c>
      <c r="L129" s="399">
        <v>0.02</v>
      </c>
      <c r="M129" s="399">
        <v>0.02</v>
      </c>
      <c r="N129" s="399">
        <v>0.02</v>
      </c>
      <c r="O129" s="399">
        <v>0.02</v>
      </c>
      <c r="P129" s="399">
        <v>0.02</v>
      </c>
      <c r="Q129" s="399">
        <v>0.02</v>
      </c>
      <c r="R129" s="399">
        <v>0.02</v>
      </c>
      <c r="S129" s="399">
        <v>0.02</v>
      </c>
      <c r="T129" s="399">
        <v>0.02</v>
      </c>
      <c r="U129" s="399">
        <v>0.02</v>
      </c>
      <c r="V129" s="402">
        <v>5</v>
      </c>
      <c r="W129" s="391" t="s">
        <v>812</v>
      </c>
      <c r="X129" s="391"/>
      <c r="Y129" s="395"/>
      <c r="Z129" s="395"/>
      <c r="AA129" s="387">
        <f t="shared" si="9"/>
        <v>1980</v>
      </c>
    </row>
    <row r="130" spans="1:27" x14ac:dyDescent="0.2">
      <c r="A130" s="391">
        <f>+A129+1</f>
        <v>128</v>
      </c>
      <c r="B130" s="396">
        <v>385</v>
      </c>
      <c r="C130" s="394" t="s">
        <v>1367</v>
      </c>
      <c r="D130" s="392">
        <f t="shared" si="7"/>
        <v>0.01</v>
      </c>
      <c r="E130" s="392">
        <f t="shared" si="8"/>
        <v>0.01</v>
      </c>
      <c r="F130" s="510">
        <v>0.01</v>
      </c>
      <c r="G130" s="510">
        <v>0.01</v>
      </c>
      <c r="H130" s="510">
        <v>0.01</v>
      </c>
      <c r="I130" s="510">
        <v>0.01</v>
      </c>
      <c r="J130" s="510">
        <v>0.01</v>
      </c>
      <c r="K130" s="510">
        <v>0.01</v>
      </c>
      <c r="L130" s="398">
        <v>0.01</v>
      </c>
      <c r="M130" s="398">
        <v>0.01</v>
      </c>
      <c r="N130" s="398">
        <v>0.01</v>
      </c>
      <c r="O130" s="398">
        <v>0.01</v>
      </c>
      <c r="P130" s="398">
        <v>0.01</v>
      </c>
      <c r="Q130" s="398">
        <v>0.01</v>
      </c>
      <c r="R130" s="398">
        <v>0.01</v>
      </c>
      <c r="S130" s="398">
        <v>0.01</v>
      </c>
      <c r="T130" s="398">
        <v>0.01</v>
      </c>
      <c r="U130" s="398">
        <v>0.01</v>
      </c>
      <c r="V130" s="402">
        <v>5</v>
      </c>
      <c r="W130" s="391" t="s">
        <v>812</v>
      </c>
      <c r="X130" s="391"/>
      <c r="Y130" s="395"/>
      <c r="Z130" s="395"/>
      <c r="AA130" s="387">
        <f t="shared" si="9"/>
        <v>1980</v>
      </c>
    </row>
    <row r="131" spans="1:27" x14ac:dyDescent="0.2">
      <c r="A131" s="391">
        <f>+A130+1</f>
        <v>129</v>
      </c>
      <c r="B131" s="396">
        <v>390</v>
      </c>
      <c r="C131" s="394" t="s">
        <v>854</v>
      </c>
      <c r="D131" s="392">
        <f t="shared" si="7"/>
        <v>0.02</v>
      </c>
      <c r="E131" s="392">
        <f t="shared" si="8"/>
        <v>0.02</v>
      </c>
      <c r="F131" s="399">
        <v>0.02</v>
      </c>
      <c r="G131" s="399">
        <v>0.02</v>
      </c>
      <c r="H131" s="399">
        <v>0.02</v>
      </c>
      <c r="I131" s="399">
        <v>0.02</v>
      </c>
      <c r="J131" s="399">
        <v>0.02</v>
      </c>
      <c r="K131" s="399">
        <v>0.02</v>
      </c>
      <c r="L131" s="399">
        <v>0.02</v>
      </c>
      <c r="M131" s="399">
        <v>0.02</v>
      </c>
      <c r="N131" s="399">
        <v>0.02</v>
      </c>
      <c r="O131" s="399">
        <v>0.02</v>
      </c>
      <c r="P131" s="399">
        <v>0.02</v>
      </c>
      <c r="Q131" s="399">
        <v>0.02</v>
      </c>
      <c r="R131" s="399">
        <v>0.02</v>
      </c>
      <c r="S131" s="399">
        <v>0.02</v>
      </c>
      <c r="T131" s="399">
        <v>0.02</v>
      </c>
      <c r="U131" s="399">
        <v>0.02</v>
      </c>
      <c r="V131" s="402">
        <v>5</v>
      </c>
      <c r="W131" s="391" t="s">
        <v>812</v>
      </c>
      <c r="X131" s="391"/>
      <c r="Y131" s="395"/>
      <c r="Z131" s="395"/>
      <c r="AA131" s="387">
        <f t="shared" si="9"/>
        <v>1980</v>
      </c>
    </row>
    <row r="132" spans="1:27" s="773" customFormat="1" x14ac:dyDescent="0.2">
      <c r="A132" s="764">
        <f>+A131+1</f>
        <v>130</v>
      </c>
      <c r="B132" s="774">
        <v>374</v>
      </c>
      <c r="C132" s="775" t="s">
        <v>1662</v>
      </c>
      <c r="D132" s="767">
        <f t="shared" ref="D132:D195" si="13">HLOOKUP(D$1,F$2:U$405,(A132+1),FALSE)</f>
        <v>5.0000000000000001E-3</v>
      </c>
      <c r="E132" s="767">
        <f t="shared" ref="E132:E195" si="14">HLOOKUP(D$1+1,F$2:U$405,(A132+1),FALSE)</f>
        <v>0.01</v>
      </c>
      <c r="F132" s="767">
        <v>0</v>
      </c>
      <c r="G132" s="767">
        <v>0</v>
      </c>
      <c r="H132" s="767">
        <v>0</v>
      </c>
      <c r="I132" s="767">
        <v>0</v>
      </c>
      <c r="J132" s="767">
        <v>0</v>
      </c>
      <c r="K132" s="767">
        <v>0</v>
      </c>
      <c r="L132" s="767">
        <v>0</v>
      </c>
      <c r="M132" s="767">
        <v>0</v>
      </c>
      <c r="N132" s="767">
        <v>0</v>
      </c>
      <c r="O132" s="767">
        <v>0</v>
      </c>
      <c r="P132" s="767">
        <v>0</v>
      </c>
      <c r="Q132" s="767">
        <v>0</v>
      </c>
      <c r="R132" s="767">
        <v>0</v>
      </c>
      <c r="S132" s="767">
        <v>0</v>
      </c>
      <c r="T132" s="767">
        <v>5.0000000000000001E-3</v>
      </c>
      <c r="U132" s="767">
        <v>0.01</v>
      </c>
      <c r="V132" s="764">
        <v>5</v>
      </c>
      <c r="W132" s="764" t="s">
        <v>812</v>
      </c>
      <c r="X132" s="779" t="s">
        <v>1654</v>
      </c>
      <c r="Y132" s="776"/>
      <c r="Z132" s="776"/>
      <c r="AA132" s="772">
        <f t="shared" si="9"/>
        <v>2017</v>
      </c>
    </row>
    <row r="133" spans="1:27" x14ac:dyDescent="0.2">
      <c r="A133" s="391">
        <f>+A132+1</f>
        <v>131</v>
      </c>
      <c r="B133" s="396">
        <v>340</v>
      </c>
      <c r="C133" s="394" t="s">
        <v>1283</v>
      </c>
      <c r="D133" s="392">
        <f t="shared" si="13"/>
        <v>1.4999999999999999E-2</v>
      </c>
      <c r="E133" s="392">
        <f t="shared" si="14"/>
        <v>1.4999999999999999E-2</v>
      </c>
      <c r="F133" s="399">
        <v>1.4999999999999999E-2</v>
      </c>
      <c r="G133" s="399">
        <v>1.4999999999999999E-2</v>
      </c>
      <c r="H133" s="399">
        <v>1.4999999999999999E-2</v>
      </c>
      <c r="I133" s="399">
        <v>1.4999999999999999E-2</v>
      </c>
      <c r="J133" s="399">
        <v>1.4999999999999999E-2</v>
      </c>
      <c r="K133" s="399">
        <v>1.4999999999999999E-2</v>
      </c>
      <c r="L133" s="399">
        <v>1.4999999999999999E-2</v>
      </c>
      <c r="M133" s="399">
        <v>1.4999999999999999E-2</v>
      </c>
      <c r="N133" s="399">
        <v>1.4999999999999999E-2</v>
      </c>
      <c r="O133" s="399">
        <v>1.4999999999999999E-2</v>
      </c>
      <c r="P133" s="399">
        <v>1.4999999999999999E-2</v>
      </c>
      <c r="Q133" s="399">
        <v>1.4999999999999999E-2</v>
      </c>
      <c r="R133" s="399">
        <v>1.4999999999999999E-2</v>
      </c>
      <c r="S133" s="399">
        <v>1.4999999999999999E-2</v>
      </c>
      <c r="T133" s="399">
        <v>1.4999999999999999E-2</v>
      </c>
      <c r="U133" s="399">
        <v>1.4999999999999999E-2</v>
      </c>
      <c r="V133" s="402">
        <v>5</v>
      </c>
      <c r="W133" s="391" t="s">
        <v>812</v>
      </c>
      <c r="X133" s="391"/>
      <c r="Y133" s="395"/>
      <c r="Z133" s="395"/>
      <c r="AA133" s="387">
        <f t="shared" si="9"/>
        <v>1980</v>
      </c>
    </row>
    <row r="134" spans="1:27" s="3" customFormat="1" x14ac:dyDescent="0.2">
      <c r="A134" s="402">
        <f t="shared" si="11"/>
        <v>132</v>
      </c>
      <c r="B134" s="401">
        <v>438</v>
      </c>
      <c r="C134" s="397" t="s">
        <v>1574</v>
      </c>
      <c r="D134" s="399">
        <f t="shared" si="13"/>
        <v>0.01</v>
      </c>
      <c r="E134" s="399">
        <f t="shared" si="14"/>
        <v>0.01</v>
      </c>
      <c r="F134" s="399">
        <v>0.01</v>
      </c>
      <c r="G134" s="399">
        <v>0.01</v>
      </c>
      <c r="H134" s="399">
        <v>0.01</v>
      </c>
      <c r="I134" s="399">
        <v>0.01</v>
      </c>
      <c r="J134" s="399">
        <v>0.01</v>
      </c>
      <c r="K134" s="399">
        <v>0.01</v>
      </c>
      <c r="L134" s="399">
        <v>0.01</v>
      </c>
      <c r="M134" s="399">
        <v>0.01</v>
      </c>
      <c r="N134" s="399">
        <v>0.01</v>
      </c>
      <c r="O134" s="399">
        <v>0.01</v>
      </c>
      <c r="P134" s="399">
        <v>0.01</v>
      </c>
      <c r="Q134" s="399">
        <v>0.01</v>
      </c>
      <c r="R134" s="399">
        <v>0.01</v>
      </c>
      <c r="S134" s="399">
        <v>0.01</v>
      </c>
      <c r="T134" s="399">
        <v>0.01</v>
      </c>
      <c r="U134" s="399">
        <v>0.01</v>
      </c>
      <c r="V134" s="402">
        <v>5</v>
      </c>
      <c r="W134" s="402" t="s">
        <v>812</v>
      </c>
      <c r="X134" s="402"/>
      <c r="Y134" s="726"/>
      <c r="Z134" s="726"/>
      <c r="AA134" s="387">
        <f t="shared" si="9"/>
        <v>1980</v>
      </c>
    </row>
    <row r="135" spans="1:27" x14ac:dyDescent="0.2">
      <c r="A135" s="391">
        <f t="shared" si="11"/>
        <v>133</v>
      </c>
      <c r="B135" s="396">
        <v>312</v>
      </c>
      <c r="C135" s="397" t="s">
        <v>508</v>
      </c>
      <c r="D135" s="392">
        <f t="shared" si="13"/>
        <v>0</v>
      </c>
      <c r="E135" s="392">
        <f t="shared" si="14"/>
        <v>0</v>
      </c>
      <c r="F135" s="399">
        <v>0</v>
      </c>
      <c r="G135" s="399">
        <v>0</v>
      </c>
      <c r="H135" s="399">
        <v>0</v>
      </c>
      <c r="I135" s="399">
        <v>0</v>
      </c>
      <c r="J135" s="399">
        <v>0</v>
      </c>
      <c r="K135" s="399">
        <v>0</v>
      </c>
      <c r="L135" s="399">
        <v>0</v>
      </c>
      <c r="M135" s="399">
        <v>0</v>
      </c>
      <c r="N135" s="399">
        <v>0</v>
      </c>
      <c r="O135" s="399">
        <v>0</v>
      </c>
      <c r="P135" s="399">
        <v>0</v>
      </c>
      <c r="Q135" s="399">
        <v>0</v>
      </c>
      <c r="R135" s="399">
        <v>0</v>
      </c>
      <c r="S135" s="399">
        <v>0</v>
      </c>
      <c r="T135" s="399">
        <v>0</v>
      </c>
      <c r="U135" s="399">
        <v>0</v>
      </c>
      <c r="V135" s="402">
        <v>5</v>
      </c>
      <c r="W135" s="402" t="s">
        <v>812</v>
      </c>
      <c r="X135" s="391" t="s">
        <v>980</v>
      </c>
      <c r="Y135" s="395"/>
      <c r="Z135" s="395"/>
      <c r="AA135" s="387">
        <f t="shared" si="9"/>
        <v>2019</v>
      </c>
    </row>
    <row r="136" spans="1:27" x14ac:dyDescent="0.2">
      <c r="A136" s="391">
        <f t="shared" si="11"/>
        <v>134</v>
      </c>
      <c r="B136" s="396">
        <v>313</v>
      </c>
      <c r="C136" s="397" t="s">
        <v>929</v>
      </c>
      <c r="D136" s="392">
        <f t="shared" si="13"/>
        <v>0.01</v>
      </c>
      <c r="E136" s="392">
        <f t="shared" si="14"/>
        <v>0.01</v>
      </c>
      <c r="F136" s="399">
        <v>0</v>
      </c>
      <c r="G136" s="399">
        <v>0</v>
      </c>
      <c r="H136" s="399">
        <v>0</v>
      </c>
      <c r="I136" s="399">
        <v>0</v>
      </c>
      <c r="J136" s="399">
        <v>0</v>
      </c>
      <c r="K136" s="399">
        <v>0</v>
      </c>
      <c r="L136" s="399">
        <v>0</v>
      </c>
      <c r="M136" s="399">
        <v>0</v>
      </c>
      <c r="N136" s="399">
        <v>0</v>
      </c>
      <c r="O136" s="399">
        <v>0.01</v>
      </c>
      <c r="P136" s="399">
        <v>0.01</v>
      </c>
      <c r="Q136" s="399">
        <v>0.01</v>
      </c>
      <c r="R136" s="399">
        <v>0.01</v>
      </c>
      <c r="S136" s="399">
        <v>0.01</v>
      </c>
      <c r="T136" s="399">
        <v>0.01</v>
      </c>
      <c r="U136" s="399">
        <v>0.01</v>
      </c>
      <c r="V136" s="402">
        <v>5</v>
      </c>
      <c r="W136" s="402" t="s">
        <v>812</v>
      </c>
      <c r="X136" s="391"/>
      <c r="Y136" s="395"/>
      <c r="Z136" s="395"/>
      <c r="AA136" s="387">
        <f t="shared" si="9"/>
        <v>2012</v>
      </c>
    </row>
    <row r="137" spans="1:27" x14ac:dyDescent="0.2">
      <c r="A137" s="391">
        <f t="shared" si="11"/>
        <v>135</v>
      </c>
      <c r="B137" s="403">
        <v>377</v>
      </c>
      <c r="C137" s="394" t="s">
        <v>855</v>
      </c>
      <c r="D137" s="392">
        <f t="shared" si="13"/>
        <v>0.01</v>
      </c>
      <c r="E137" s="392">
        <f t="shared" si="14"/>
        <v>0.01</v>
      </c>
      <c r="F137" s="399">
        <v>0.01</v>
      </c>
      <c r="G137" s="399">
        <v>0.01</v>
      </c>
      <c r="H137" s="399">
        <v>0.01</v>
      </c>
      <c r="I137" s="399">
        <v>0.01</v>
      </c>
      <c r="J137" s="399">
        <v>0.01</v>
      </c>
      <c r="K137" s="399">
        <v>0.01</v>
      </c>
      <c r="L137" s="399">
        <v>0.01</v>
      </c>
      <c r="M137" s="399">
        <v>0.01</v>
      </c>
      <c r="N137" s="399">
        <v>0.01</v>
      </c>
      <c r="O137" s="399">
        <v>0.01</v>
      </c>
      <c r="P137" s="399">
        <v>0.01</v>
      </c>
      <c r="Q137" s="399">
        <v>0.01</v>
      </c>
      <c r="R137" s="399">
        <v>0.01</v>
      </c>
      <c r="S137" s="399">
        <v>0.01</v>
      </c>
      <c r="T137" s="399">
        <v>0.01</v>
      </c>
      <c r="U137" s="399">
        <v>0.01</v>
      </c>
      <c r="V137" s="402">
        <v>7</v>
      </c>
      <c r="W137" s="391" t="s">
        <v>812</v>
      </c>
      <c r="X137" s="391"/>
      <c r="Y137" s="395"/>
      <c r="Z137" s="395"/>
      <c r="AA137" s="387">
        <f t="shared" si="9"/>
        <v>1980</v>
      </c>
    </row>
    <row r="138" spans="1:27" x14ac:dyDescent="0.2">
      <c r="A138" s="391">
        <f t="shared" si="11"/>
        <v>136</v>
      </c>
      <c r="B138" s="403">
        <v>386</v>
      </c>
      <c r="C138" s="394" t="s">
        <v>1116</v>
      </c>
      <c r="D138" s="392">
        <f t="shared" si="13"/>
        <v>0.01</v>
      </c>
      <c r="E138" s="392">
        <f t="shared" si="14"/>
        <v>0.01</v>
      </c>
      <c r="F138" s="399">
        <v>0.01</v>
      </c>
      <c r="G138" s="399">
        <v>0.01</v>
      </c>
      <c r="H138" s="399">
        <v>0.01</v>
      </c>
      <c r="I138" s="399">
        <v>0.01</v>
      </c>
      <c r="J138" s="399">
        <v>0.01</v>
      </c>
      <c r="K138" s="399">
        <v>0.01</v>
      </c>
      <c r="L138" s="399">
        <v>0.01</v>
      </c>
      <c r="M138" s="399">
        <v>0.01</v>
      </c>
      <c r="N138" s="399">
        <v>0.01</v>
      </c>
      <c r="O138" s="399">
        <v>0.01</v>
      </c>
      <c r="P138" s="399">
        <v>0.01</v>
      </c>
      <c r="Q138" s="399">
        <v>0.01</v>
      </c>
      <c r="R138" s="399">
        <v>0.01</v>
      </c>
      <c r="S138" s="399">
        <v>0.01</v>
      </c>
      <c r="T138" s="399">
        <v>0.01</v>
      </c>
      <c r="U138" s="399">
        <v>0.01</v>
      </c>
      <c r="V138" s="402">
        <v>0</v>
      </c>
      <c r="W138" s="391" t="s">
        <v>687</v>
      </c>
      <c r="X138" s="391"/>
      <c r="Y138" s="395"/>
      <c r="Z138" s="395"/>
      <c r="AA138" s="387">
        <f t="shared" ref="AA138:AA202" si="15">_xlfn.IFNA(MATCH(0,F138:U138,1),-23) + F$2 -1</f>
        <v>1980</v>
      </c>
    </row>
    <row r="139" spans="1:27" x14ac:dyDescent="0.2">
      <c r="A139" s="391">
        <f t="shared" si="11"/>
        <v>137</v>
      </c>
      <c r="B139" s="403">
        <v>392</v>
      </c>
      <c r="C139" s="397" t="s">
        <v>1310</v>
      </c>
      <c r="D139" s="392">
        <f t="shared" si="13"/>
        <v>2.2499999999999999E-2</v>
      </c>
      <c r="E139" s="392">
        <f t="shared" si="14"/>
        <v>2.2499999999999999E-2</v>
      </c>
      <c r="F139" s="399">
        <v>0.02</v>
      </c>
      <c r="G139" s="399">
        <v>0.02</v>
      </c>
      <c r="H139" s="399">
        <v>0.02</v>
      </c>
      <c r="I139" s="399">
        <v>0.02</v>
      </c>
      <c r="J139" s="399">
        <v>0.02</v>
      </c>
      <c r="K139" s="399">
        <v>0.02</v>
      </c>
      <c r="L139" s="399">
        <v>0.02</v>
      </c>
      <c r="M139" s="399">
        <v>0.02</v>
      </c>
      <c r="N139" s="399">
        <v>0.02</v>
      </c>
      <c r="O139" s="399">
        <v>0.02</v>
      </c>
      <c r="P139" s="399">
        <v>2.2499999999999999E-2</v>
      </c>
      <c r="Q139" s="399">
        <v>2.2499999999999999E-2</v>
      </c>
      <c r="R139" s="399">
        <v>2.2499999999999999E-2</v>
      </c>
      <c r="S139" s="399">
        <v>2.2499999999999999E-2</v>
      </c>
      <c r="T139" s="399">
        <v>2.2499999999999999E-2</v>
      </c>
      <c r="U139" s="399">
        <v>2.2499999999999999E-2</v>
      </c>
      <c r="V139" s="402">
        <v>5</v>
      </c>
      <c r="W139" s="402" t="s">
        <v>812</v>
      </c>
      <c r="X139" s="391"/>
      <c r="Y139" s="395"/>
      <c r="Z139" s="395"/>
      <c r="AA139" s="387">
        <f t="shared" si="15"/>
        <v>1980</v>
      </c>
    </row>
    <row r="140" spans="1:27" x14ac:dyDescent="0.2">
      <c r="A140" s="391">
        <f t="shared" si="11"/>
        <v>138</v>
      </c>
      <c r="B140" s="403">
        <v>412</v>
      </c>
      <c r="C140" s="394" t="s">
        <v>1179</v>
      </c>
      <c r="D140" s="392">
        <f t="shared" si="13"/>
        <v>0.01</v>
      </c>
      <c r="E140" s="392">
        <f t="shared" si="14"/>
        <v>0.01</v>
      </c>
      <c r="F140" s="399">
        <v>0</v>
      </c>
      <c r="G140" s="399">
        <v>0</v>
      </c>
      <c r="H140" s="399">
        <v>0</v>
      </c>
      <c r="I140" s="399">
        <v>0</v>
      </c>
      <c r="J140" s="399">
        <v>0</v>
      </c>
      <c r="K140" s="399">
        <v>0</v>
      </c>
      <c r="L140" s="399">
        <v>0.01</v>
      </c>
      <c r="M140" s="399">
        <v>0.01</v>
      </c>
      <c r="N140" s="399">
        <v>0.01</v>
      </c>
      <c r="O140" s="399">
        <v>0.01</v>
      </c>
      <c r="P140" s="399">
        <v>0.01</v>
      </c>
      <c r="Q140" s="399">
        <v>0.01</v>
      </c>
      <c r="R140" s="399">
        <v>0.01</v>
      </c>
      <c r="S140" s="399">
        <v>0.01</v>
      </c>
      <c r="T140" s="399">
        <v>0.01</v>
      </c>
      <c r="U140" s="399">
        <v>0.01</v>
      </c>
      <c r="V140" s="402">
        <v>5</v>
      </c>
      <c r="W140" s="391" t="s">
        <v>812</v>
      </c>
      <c r="X140" s="391"/>
      <c r="Y140" s="395"/>
      <c r="Z140" s="395"/>
      <c r="AA140" s="387">
        <f t="shared" si="15"/>
        <v>2009</v>
      </c>
    </row>
    <row r="141" spans="1:27" x14ac:dyDescent="0.2">
      <c r="A141" s="402">
        <f t="shared" si="11"/>
        <v>139</v>
      </c>
      <c r="B141" s="403">
        <v>681</v>
      </c>
      <c r="C141" s="738" t="s">
        <v>1609</v>
      </c>
      <c r="D141" s="392">
        <f t="shared" si="13"/>
        <v>0.01</v>
      </c>
      <c r="E141" s="392">
        <f t="shared" si="14"/>
        <v>0.01</v>
      </c>
      <c r="F141" s="399">
        <v>0</v>
      </c>
      <c r="G141" s="399">
        <v>0</v>
      </c>
      <c r="H141" s="399">
        <v>0</v>
      </c>
      <c r="I141" s="399">
        <v>0</v>
      </c>
      <c r="J141" s="399">
        <v>0</v>
      </c>
      <c r="K141" s="399">
        <v>0</v>
      </c>
      <c r="L141" s="399">
        <v>0</v>
      </c>
      <c r="M141" s="399">
        <v>0</v>
      </c>
      <c r="N141" s="399">
        <v>0</v>
      </c>
      <c r="O141" s="399">
        <v>0</v>
      </c>
      <c r="P141" s="399">
        <v>0</v>
      </c>
      <c r="Q141" s="399">
        <v>0</v>
      </c>
      <c r="R141" s="399">
        <v>0</v>
      </c>
      <c r="S141" s="399">
        <v>5.0000000000000001E-3</v>
      </c>
      <c r="T141" s="399">
        <v>0.01</v>
      </c>
      <c r="U141" s="399">
        <v>0.01</v>
      </c>
      <c r="V141" s="402">
        <v>5</v>
      </c>
      <c r="W141" s="391" t="s">
        <v>812</v>
      </c>
      <c r="X141" s="727" t="s">
        <v>1604</v>
      </c>
      <c r="Y141" s="395"/>
      <c r="Z141" s="395"/>
      <c r="AA141" s="387">
        <f t="shared" si="15"/>
        <v>2016</v>
      </c>
    </row>
    <row r="142" spans="1:27" x14ac:dyDescent="0.2">
      <c r="A142" s="391">
        <f t="shared" si="11"/>
        <v>140</v>
      </c>
      <c r="B142" s="396">
        <v>394</v>
      </c>
      <c r="C142" s="394" t="s">
        <v>856</v>
      </c>
      <c r="D142" s="392">
        <f t="shared" si="13"/>
        <v>0.02</v>
      </c>
      <c r="E142" s="392">
        <f t="shared" si="14"/>
        <v>0.02</v>
      </c>
      <c r="F142" s="399">
        <v>0.02</v>
      </c>
      <c r="G142" s="399">
        <v>0.02</v>
      </c>
      <c r="H142" s="399">
        <v>0.02</v>
      </c>
      <c r="I142" s="399">
        <v>0.02</v>
      </c>
      <c r="J142" s="399">
        <v>0.02</v>
      </c>
      <c r="K142" s="399">
        <v>0.02</v>
      </c>
      <c r="L142" s="399">
        <v>0.02</v>
      </c>
      <c r="M142" s="399">
        <v>0.02</v>
      </c>
      <c r="N142" s="399">
        <v>0.02</v>
      </c>
      <c r="O142" s="399">
        <v>0.02</v>
      </c>
      <c r="P142" s="399">
        <v>0.02</v>
      </c>
      <c r="Q142" s="399">
        <v>0.02</v>
      </c>
      <c r="R142" s="399">
        <v>0.02</v>
      </c>
      <c r="S142" s="399">
        <v>0.02</v>
      </c>
      <c r="T142" s="399">
        <v>0.02</v>
      </c>
      <c r="U142" s="399">
        <v>0.02</v>
      </c>
      <c r="V142" s="402">
        <v>5</v>
      </c>
      <c r="W142" s="391" t="s">
        <v>812</v>
      </c>
      <c r="X142" s="391"/>
      <c r="Y142" s="395"/>
      <c r="Z142" s="395"/>
      <c r="AA142" s="387">
        <f t="shared" si="15"/>
        <v>1980</v>
      </c>
    </row>
    <row r="143" spans="1:27" x14ac:dyDescent="0.2">
      <c r="A143" s="391">
        <f t="shared" si="11"/>
        <v>141</v>
      </c>
      <c r="B143" s="396">
        <v>398</v>
      </c>
      <c r="C143" s="394" t="s">
        <v>857</v>
      </c>
      <c r="D143" s="392">
        <f t="shared" si="13"/>
        <v>1.4999999999999999E-2</v>
      </c>
      <c r="E143" s="392">
        <f t="shared" si="14"/>
        <v>1.4999999999999999E-2</v>
      </c>
      <c r="F143" s="399">
        <v>1.4999999999999999E-2</v>
      </c>
      <c r="G143" s="399">
        <v>1.4999999999999999E-2</v>
      </c>
      <c r="H143" s="399">
        <v>1.4999999999999999E-2</v>
      </c>
      <c r="I143" s="399">
        <v>1.4999999999999999E-2</v>
      </c>
      <c r="J143" s="399">
        <v>1.4999999999999999E-2</v>
      </c>
      <c r="K143" s="399">
        <v>1.4999999999999999E-2</v>
      </c>
      <c r="L143" s="399">
        <v>1.4999999999999999E-2</v>
      </c>
      <c r="M143" s="399">
        <v>1.4999999999999999E-2</v>
      </c>
      <c r="N143" s="399">
        <v>1.4999999999999999E-2</v>
      </c>
      <c r="O143" s="399">
        <v>1.4999999999999999E-2</v>
      </c>
      <c r="P143" s="399">
        <v>1.4999999999999999E-2</v>
      </c>
      <c r="Q143" s="399">
        <v>1.4999999999999999E-2</v>
      </c>
      <c r="R143" s="399">
        <v>1.4999999999999999E-2</v>
      </c>
      <c r="S143" s="399">
        <v>1.4999999999999999E-2</v>
      </c>
      <c r="T143" s="399">
        <v>1.4999999999999999E-2</v>
      </c>
      <c r="U143" s="399">
        <v>1.4999999999999999E-2</v>
      </c>
      <c r="V143" s="402">
        <v>5</v>
      </c>
      <c r="W143" s="391" t="s">
        <v>812</v>
      </c>
      <c r="X143" s="391"/>
      <c r="Y143" s="395"/>
      <c r="Z143" s="395"/>
      <c r="AA143" s="387">
        <f t="shared" si="15"/>
        <v>1980</v>
      </c>
    </row>
    <row r="144" spans="1:27" x14ac:dyDescent="0.2">
      <c r="A144" s="391">
        <f t="shared" si="11"/>
        <v>142</v>
      </c>
      <c r="B144" s="396">
        <v>327</v>
      </c>
      <c r="C144" s="394" t="s">
        <v>1069</v>
      </c>
      <c r="D144" s="392">
        <f t="shared" si="13"/>
        <v>0.01</v>
      </c>
      <c r="E144" s="392">
        <f t="shared" si="14"/>
        <v>0.01</v>
      </c>
      <c r="F144" s="399">
        <v>0</v>
      </c>
      <c r="G144" s="399">
        <v>0</v>
      </c>
      <c r="H144" s="399">
        <v>0</v>
      </c>
      <c r="I144" s="399">
        <v>0</v>
      </c>
      <c r="J144" s="399">
        <v>0</v>
      </c>
      <c r="K144" s="399">
        <v>0</v>
      </c>
      <c r="L144" s="399">
        <v>0</v>
      </c>
      <c r="M144" s="399">
        <v>0</v>
      </c>
      <c r="N144" s="399">
        <v>0.01</v>
      </c>
      <c r="O144" s="399">
        <v>0.01</v>
      </c>
      <c r="P144" s="399">
        <v>0.01</v>
      </c>
      <c r="Q144" s="399">
        <v>0.01</v>
      </c>
      <c r="R144" s="399">
        <v>0.01</v>
      </c>
      <c r="S144" s="399">
        <v>0.01</v>
      </c>
      <c r="T144" s="399">
        <v>0.01</v>
      </c>
      <c r="U144" s="399">
        <v>0.01</v>
      </c>
      <c r="V144" s="402">
        <v>5</v>
      </c>
      <c r="W144" s="391" t="s">
        <v>812</v>
      </c>
      <c r="X144" s="391"/>
      <c r="Y144" s="395"/>
      <c r="Z144" s="395"/>
      <c r="AA144" s="387">
        <f t="shared" si="15"/>
        <v>2011</v>
      </c>
    </row>
    <row r="145" spans="1:27" x14ac:dyDescent="0.2">
      <c r="A145" s="391">
        <f t="shared" si="11"/>
        <v>143</v>
      </c>
      <c r="B145" s="396">
        <v>401</v>
      </c>
      <c r="C145" s="394" t="s">
        <v>858</v>
      </c>
      <c r="D145" s="392">
        <f t="shared" si="13"/>
        <v>2.2499999999999999E-2</v>
      </c>
      <c r="E145" s="392">
        <f t="shared" si="14"/>
        <v>2.2499999999999999E-2</v>
      </c>
      <c r="F145" s="399">
        <v>0.02</v>
      </c>
      <c r="G145" s="399">
        <v>0.02</v>
      </c>
      <c r="H145" s="399">
        <v>0.02</v>
      </c>
      <c r="I145" s="399">
        <v>0.02</v>
      </c>
      <c r="J145" s="399">
        <v>0.02</v>
      </c>
      <c r="K145" s="399">
        <v>0.02</v>
      </c>
      <c r="L145" s="399">
        <v>0.02</v>
      </c>
      <c r="M145" s="399">
        <v>0.02</v>
      </c>
      <c r="N145" s="399">
        <v>0.02</v>
      </c>
      <c r="O145" s="399">
        <v>0.02</v>
      </c>
      <c r="P145" s="399">
        <v>0.02</v>
      </c>
      <c r="Q145" s="399">
        <v>0.02</v>
      </c>
      <c r="R145" s="399">
        <v>0.02</v>
      </c>
      <c r="S145" s="399">
        <v>0.02</v>
      </c>
      <c r="T145" s="399">
        <v>2.2499999999999999E-2</v>
      </c>
      <c r="U145" s="399">
        <v>2.2499999999999999E-2</v>
      </c>
      <c r="V145" s="402">
        <v>0</v>
      </c>
      <c r="W145" s="391" t="s">
        <v>687</v>
      </c>
      <c r="X145" s="391"/>
      <c r="Y145" s="395"/>
      <c r="Z145" s="395"/>
      <c r="AA145" s="387">
        <f t="shared" si="15"/>
        <v>1980</v>
      </c>
    </row>
    <row r="146" spans="1:27" x14ac:dyDescent="0.2">
      <c r="A146" s="402">
        <f t="shared" si="11"/>
        <v>144</v>
      </c>
      <c r="B146" s="396">
        <v>443</v>
      </c>
      <c r="C146" s="738" t="s">
        <v>1610</v>
      </c>
      <c r="D146" s="392">
        <f t="shared" si="13"/>
        <v>1.4999999999999999E-2</v>
      </c>
      <c r="E146" s="392">
        <f t="shared" si="14"/>
        <v>1.4999999999999999E-2</v>
      </c>
      <c r="F146" s="399">
        <v>0</v>
      </c>
      <c r="G146" s="399">
        <v>1.4999999999999999E-2</v>
      </c>
      <c r="H146" s="399">
        <v>1.4999999999999999E-2</v>
      </c>
      <c r="I146" s="399">
        <v>1.4999999999999999E-2</v>
      </c>
      <c r="J146" s="399">
        <v>1.4999999999999999E-2</v>
      </c>
      <c r="K146" s="399">
        <v>1.4999999999999999E-2</v>
      </c>
      <c r="L146" s="399">
        <v>1.4999999999999999E-2</v>
      </c>
      <c r="M146" s="399">
        <v>1.4999999999999999E-2</v>
      </c>
      <c r="N146" s="399">
        <v>1.4999999999999999E-2</v>
      </c>
      <c r="O146" s="399">
        <v>1.4999999999999999E-2</v>
      </c>
      <c r="P146" s="399">
        <v>1.4999999999999999E-2</v>
      </c>
      <c r="Q146" s="399">
        <v>1.4999999999999999E-2</v>
      </c>
      <c r="R146" s="399">
        <v>1.4999999999999999E-2</v>
      </c>
      <c r="S146" s="399">
        <v>1.4999999999999999E-2</v>
      </c>
      <c r="T146" s="399">
        <v>1.4999999999999999E-2</v>
      </c>
      <c r="U146" s="399">
        <v>1.4999999999999999E-2</v>
      </c>
      <c r="V146" s="402">
        <v>0</v>
      </c>
      <c r="W146" s="391" t="s">
        <v>687</v>
      </c>
      <c r="X146" s="391"/>
      <c r="Y146" s="395"/>
      <c r="Z146" s="395"/>
      <c r="AA146" s="387">
        <f t="shared" si="15"/>
        <v>2004</v>
      </c>
    </row>
    <row r="147" spans="1:27" s="773" customFormat="1" x14ac:dyDescent="0.2">
      <c r="A147" s="764">
        <f t="shared" si="11"/>
        <v>145</v>
      </c>
      <c r="B147" s="774">
        <v>444</v>
      </c>
      <c r="C147" s="775" t="s">
        <v>1774</v>
      </c>
      <c r="D147" s="767">
        <f t="shared" si="13"/>
        <v>0.01</v>
      </c>
      <c r="E147" s="767">
        <f t="shared" si="14"/>
        <v>0.01</v>
      </c>
      <c r="F147" s="767">
        <v>0.01</v>
      </c>
      <c r="G147" s="767">
        <v>0.01</v>
      </c>
      <c r="H147" s="767">
        <v>0.01</v>
      </c>
      <c r="I147" s="767">
        <v>0.01</v>
      </c>
      <c r="J147" s="767">
        <v>0.01</v>
      </c>
      <c r="K147" s="767">
        <v>0.01</v>
      </c>
      <c r="L147" s="767">
        <v>0.01</v>
      </c>
      <c r="M147" s="767">
        <v>0.01</v>
      </c>
      <c r="N147" s="767">
        <v>0.01</v>
      </c>
      <c r="O147" s="767">
        <v>0.01</v>
      </c>
      <c r="P147" s="767">
        <v>0.01</v>
      </c>
      <c r="Q147" s="767">
        <v>0.01</v>
      </c>
      <c r="R147" s="767">
        <v>0.01</v>
      </c>
      <c r="S147" s="767">
        <v>0.01</v>
      </c>
      <c r="T147" s="767">
        <v>0.01</v>
      </c>
      <c r="U147" s="767">
        <v>0.01</v>
      </c>
      <c r="V147" s="764">
        <v>5</v>
      </c>
      <c r="W147" s="764" t="s">
        <v>687</v>
      </c>
      <c r="X147" s="764"/>
      <c r="Y147" s="776"/>
      <c r="Z147" s="776"/>
      <c r="AA147" s="772">
        <f t="shared" ref="AA147" si="16">_xlfn.IFNA(MATCH(0,F147:U147,1),-23) + F$2 -1</f>
        <v>1980</v>
      </c>
    </row>
    <row r="148" spans="1:27" x14ac:dyDescent="0.2">
      <c r="A148" s="402">
        <f t="shared" si="11"/>
        <v>146</v>
      </c>
      <c r="B148" s="401">
        <v>424</v>
      </c>
      <c r="C148" s="397" t="s">
        <v>859</v>
      </c>
      <c r="D148" s="392">
        <f t="shared" si="13"/>
        <v>1.4999999999999999E-2</v>
      </c>
      <c r="E148" s="392">
        <f t="shared" si="14"/>
        <v>1.4999999999999999E-2</v>
      </c>
      <c r="F148" s="399">
        <v>0.01</v>
      </c>
      <c r="G148" s="399">
        <v>0.01</v>
      </c>
      <c r="H148" s="399">
        <v>0.01</v>
      </c>
      <c r="I148" s="399">
        <v>0.01</v>
      </c>
      <c r="J148" s="399">
        <v>0.01</v>
      </c>
      <c r="K148" s="399">
        <v>0.01</v>
      </c>
      <c r="L148" s="399">
        <v>0.01</v>
      </c>
      <c r="M148" s="399">
        <v>0.01</v>
      </c>
      <c r="N148" s="399">
        <v>0.01</v>
      </c>
      <c r="O148" s="399">
        <v>0.01</v>
      </c>
      <c r="P148" s="399">
        <v>0.01</v>
      </c>
      <c r="Q148" s="399">
        <v>1.4999999999999999E-2</v>
      </c>
      <c r="R148" s="399">
        <v>1.4999999999999999E-2</v>
      </c>
      <c r="S148" s="399">
        <v>1.4999999999999999E-2</v>
      </c>
      <c r="T148" s="399">
        <v>1.4999999999999999E-2</v>
      </c>
      <c r="U148" s="399">
        <v>1.4999999999999999E-2</v>
      </c>
      <c r="V148" s="402">
        <v>0</v>
      </c>
      <c r="W148" s="391" t="s">
        <v>687</v>
      </c>
      <c r="X148" s="391"/>
      <c r="Y148" s="395"/>
      <c r="Z148" s="395"/>
      <c r="AA148" s="387">
        <f t="shared" si="15"/>
        <v>1980</v>
      </c>
    </row>
    <row r="149" spans="1:27" x14ac:dyDescent="0.2">
      <c r="A149" s="391">
        <f t="shared" si="11"/>
        <v>147</v>
      </c>
      <c r="B149" s="401">
        <v>427</v>
      </c>
      <c r="C149" s="397" t="s">
        <v>1311</v>
      </c>
      <c r="D149" s="392">
        <f t="shared" si="13"/>
        <v>0.01</v>
      </c>
      <c r="E149" s="392">
        <f t="shared" si="14"/>
        <v>0.01</v>
      </c>
      <c r="F149" s="510">
        <v>0</v>
      </c>
      <c r="G149" s="510">
        <v>0</v>
      </c>
      <c r="H149" s="510">
        <v>0.01</v>
      </c>
      <c r="I149" s="510">
        <v>0.01</v>
      </c>
      <c r="J149" s="510">
        <v>0.01</v>
      </c>
      <c r="K149" s="399">
        <v>0.01</v>
      </c>
      <c r="L149" s="399">
        <v>0.01</v>
      </c>
      <c r="M149" s="399">
        <v>0.01</v>
      </c>
      <c r="N149" s="399">
        <v>0.01</v>
      </c>
      <c r="O149" s="399">
        <v>0.01</v>
      </c>
      <c r="P149" s="399">
        <v>0.01</v>
      </c>
      <c r="Q149" s="399">
        <v>0.01</v>
      </c>
      <c r="R149" s="399">
        <v>0.01</v>
      </c>
      <c r="S149" s="399">
        <v>0.01</v>
      </c>
      <c r="T149" s="399">
        <v>0.01</v>
      </c>
      <c r="U149" s="399">
        <v>0.01</v>
      </c>
      <c r="V149" s="402">
        <v>0</v>
      </c>
      <c r="W149" s="391" t="s">
        <v>687</v>
      </c>
      <c r="X149" s="391"/>
      <c r="Y149" s="395"/>
      <c r="Z149" s="395"/>
      <c r="AA149" s="387">
        <f t="shared" si="15"/>
        <v>2005</v>
      </c>
    </row>
    <row r="150" spans="1:27" x14ac:dyDescent="0.2">
      <c r="A150" s="391">
        <f t="shared" si="11"/>
        <v>148</v>
      </c>
      <c r="B150" s="396">
        <v>426</v>
      </c>
      <c r="C150" s="394" t="s">
        <v>860</v>
      </c>
      <c r="D150" s="392">
        <f t="shared" si="13"/>
        <v>2.1000000000000001E-2</v>
      </c>
      <c r="E150" s="392">
        <f t="shared" si="14"/>
        <v>2.1000000000000001E-2</v>
      </c>
      <c r="F150" s="399">
        <v>2.1000000000000001E-2</v>
      </c>
      <c r="G150" s="399">
        <v>2.1000000000000001E-2</v>
      </c>
      <c r="H150" s="399">
        <v>2.1000000000000001E-2</v>
      </c>
      <c r="I150" s="399">
        <v>2.1000000000000001E-2</v>
      </c>
      <c r="J150" s="399">
        <v>2.1000000000000001E-2</v>
      </c>
      <c r="K150" s="399">
        <v>2.1000000000000001E-2</v>
      </c>
      <c r="L150" s="399">
        <v>2.1000000000000001E-2</v>
      </c>
      <c r="M150" s="399">
        <v>2.1000000000000001E-2</v>
      </c>
      <c r="N150" s="399">
        <v>2.1000000000000001E-2</v>
      </c>
      <c r="O150" s="399">
        <v>2.1000000000000001E-2</v>
      </c>
      <c r="P150" s="399">
        <v>2.1000000000000001E-2</v>
      </c>
      <c r="Q150" s="399">
        <v>2.1000000000000001E-2</v>
      </c>
      <c r="R150" s="399">
        <v>2.1000000000000001E-2</v>
      </c>
      <c r="S150" s="399">
        <v>2.1000000000000001E-2</v>
      </c>
      <c r="T150" s="399">
        <v>2.1000000000000001E-2</v>
      </c>
      <c r="U150" s="399">
        <v>2.1000000000000001E-2</v>
      </c>
      <c r="V150" s="402">
        <v>5</v>
      </c>
      <c r="W150" s="391" t="s">
        <v>812</v>
      </c>
      <c r="X150" s="391"/>
      <c r="Y150" s="395"/>
      <c r="Z150" s="395"/>
      <c r="AA150" s="387">
        <f t="shared" si="15"/>
        <v>1980</v>
      </c>
    </row>
    <row r="151" spans="1:27" x14ac:dyDescent="0.2">
      <c r="A151" s="402">
        <f t="shared" si="11"/>
        <v>149</v>
      </c>
      <c r="B151" s="396">
        <v>422</v>
      </c>
      <c r="C151" s="738" t="s">
        <v>1611</v>
      </c>
      <c r="D151" s="392">
        <f t="shared" si="13"/>
        <v>0.01</v>
      </c>
      <c r="E151" s="392">
        <f t="shared" si="14"/>
        <v>0.01</v>
      </c>
      <c r="F151" s="399">
        <v>0</v>
      </c>
      <c r="G151" s="399">
        <v>0</v>
      </c>
      <c r="H151" s="399">
        <v>0</v>
      </c>
      <c r="I151" s="399">
        <v>0</v>
      </c>
      <c r="J151" s="399">
        <v>0</v>
      </c>
      <c r="K151" s="399">
        <v>0</v>
      </c>
      <c r="L151" s="399">
        <v>0</v>
      </c>
      <c r="M151" s="399">
        <v>0</v>
      </c>
      <c r="N151" s="399">
        <v>0</v>
      </c>
      <c r="O151" s="399">
        <v>0</v>
      </c>
      <c r="P151" s="399">
        <v>0</v>
      </c>
      <c r="Q151" s="399">
        <v>0</v>
      </c>
      <c r="R151" s="399">
        <v>0</v>
      </c>
      <c r="S151" s="399">
        <v>0</v>
      </c>
      <c r="T151" s="399">
        <v>0.01</v>
      </c>
      <c r="U151" s="399">
        <v>0.01</v>
      </c>
      <c r="V151" s="402">
        <v>5</v>
      </c>
      <c r="W151" s="391" t="s">
        <v>812</v>
      </c>
      <c r="X151" s="391"/>
      <c r="Y151" s="395"/>
      <c r="Z151" s="395"/>
      <c r="AA151" s="387">
        <f t="shared" si="15"/>
        <v>2017</v>
      </c>
    </row>
    <row r="152" spans="1:27" x14ac:dyDescent="0.2">
      <c r="A152" s="391">
        <f t="shared" si="11"/>
        <v>150</v>
      </c>
      <c r="B152" s="396">
        <v>436</v>
      </c>
      <c r="C152" s="394" t="s">
        <v>1180</v>
      </c>
      <c r="D152" s="392">
        <f t="shared" si="13"/>
        <v>0.01</v>
      </c>
      <c r="E152" s="392">
        <f t="shared" si="14"/>
        <v>0.01</v>
      </c>
      <c r="F152" s="399">
        <v>0.01</v>
      </c>
      <c r="G152" s="399">
        <v>0.01</v>
      </c>
      <c r="H152" s="399">
        <v>0.01</v>
      </c>
      <c r="I152" s="399">
        <v>0.01</v>
      </c>
      <c r="J152" s="399">
        <v>0.01</v>
      </c>
      <c r="K152" s="399">
        <v>0.01</v>
      </c>
      <c r="L152" s="399">
        <v>0.01</v>
      </c>
      <c r="M152" s="399">
        <v>0.01</v>
      </c>
      <c r="N152" s="399">
        <v>0.01</v>
      </c>
      <c r="O152" s="399">
        <v>0.01</v>
      </c>
      <c r="P152" s="399">
        <v>0.01</v>
      </c>
      <c r="Q152" s="399">
        <v>0.01</v>
      </c>
      <c r="R152" s="399">
        <v>0.01</v>
      </c>
      <c r="S152" s="399">
        <v>0.01</v>
      </c>
      <c r="T152" s="399">
        <v>0.01</v>
      </c>
      <c r="U152" s="399">
        <v>0.01</v>
      </c>
      <c r="V152" s="402">
        <v>5</v>
      </c>
      <c r="W152" s="391" t="s">
        <v>812</v>
      </c>
      <c r="X152" s="391"/>
      <c r="Y152" s="395"/>
      <c r="Z152" s="395"/>
      <c r="AA152" s="387">
        <f t="shared" si="15"/>
        <v>1980</v>
      </c>
    </row>
    <row r="153" spans="1:27" x14ac:dyDescent="0.2">
      <c r="A153" s="391">
        <f t="shared" si="11"/>
        <v>151</v>
      </c>
      <c r="B153" s="396">
        <v>445</v>
      </c>
      <c r="C153" s="397" t="s">
        <v>1497</v>
      </c>
      <c r="D153" s="392">
        <f t="shared" si="13"/>
        <v>0.02</v>
      </c>
      <c r="E153" s="392">
        <f t="shared" si="14"/>
        <v>0.02</v>
      </c>
      <c r="F153" s="399">
        <v>0</v>
      </c>
      <c r="G153" s="399">
        <v>1.4999999999999999E-2</v>
      </c>
      <c r="H153" s="399">
        <v>1.4999999999999999E-2</v>
      </c>
      <c r="I153" s="399">
        <v>1.4999999999999999E-2</v>
      </c>
      <c r="J153" s="399">
        <v>1.4999999999999999E-2</v>
      </c>
      <c r="K153" s="399">
        <v>1.4999999999999999E-2</v>
      </c>
      <c r="L153" s="399">
        <v>1.4999999999999999E-2</v>
      </c>
      <c r="M153" s="399">
        <v>0.02</v>
      </c>
      <c r="N153" s="399">
        <v>0.02</v>
      </c>
      <c r="O153" s="399">
        <v>0.02</v>
      </c>
      <c r="P153" s="399">
        <v>0.02</v>
      </c>
      <c r="Q153" s="399">
        <v>0.02</v>
      </c>
      <c r="R153" s="399">
        <v>0.02</v>
      </c>
      <c r="S153" s="399">
        <v>0.02</v>
      </c>
      <c r="T153" s="399">
        <v>0.02</v>
      </c>
      <c r="U153" s="399">
        <v>0.02</v>
      </c>
      <c r="V153" s="402">
        <v>0</v>
      </c>
      <c r="W153" s="391" t="s">
        <v>687</v>
      </c>
      <c r="X153" s="391"/>
      <c r="Y153" s="395"/>
      <c r="Z153" s="395"/>
      <c r="AA153" s="387">
        <f t="shared" si="15"/>
        <v>2004</v>
      </c>
    </row>
    <row r="154" spans="1:27" x14ac:dyDescent="0.2">
      <c r="A154" s="391">
        <f t="shared" si="11"/>
        <v>152</v>
      </c>
      <c r="B154" s="396">
        <v>440</v>
      </c>
      <c r="C154" s="397" t="s">
        <v>861</v>
      </c>
      <c r="D154" s="392">
        <f t="shared" si="13"/>
        <v>0.02</v>
      </c>
      <c r="E154" s="392">
        <f t="shared" si="14"/>
        <v>0.02</v>
      </c>
      <c r="F154" s="399">
        <v>1.4999999999999999E-2</v>
      </c>
      <c r="G154" s="399">
        <v>1.4999999999999999E-2</v>
      </c>
      <c r="H154" s="399">
        <v>1.4999999999999999E-2</v>
      </c>
      <c r="I154" s="399">
        <v>1.4999999999999999E-2</v>
      </c>
      <c r="J154" s="399">
        <v>1.4999999999999999E-2</v>
      </c>
      <c r="K154" s="399">
        <v>1.4999999999999999E-2</v>
      </c>
      <c r="L154" s="399">
        <v>1.4999999999999999E-2</v>
      </c>
      <c r="M154" s="399">
        <v>1.4999999999999999E-2</v>
      </c>
      <c r="N154" s="399">
        <v>1.4999999999999999E-2</v>
      </c>
      <c r="O154" s="399">
        <v>1.4999999999999999E-2</v>
      </c>
      <c r="P154" s="399">
        <v>1.4999999999999999E-2</v>
      </c>
      <c r="Q154" s="399">
        <v>0.02</v>
      </c>
      <c r="R154" s="399">
        <v>0.02</v>
      </c>
      <c r="S154" s="399">
        <v>0.02</v>
      </c>
      <c r="T154" s="399">
        <v>0.02</v>
      </c>
      <c r="U154" s="399">
        <v>0.02</v>
      </c>
      <c r="V154" s="402">
        <v>5</v>
      </c>
      <c r="W154" s="391" t="s">
        <v>812</v>
      </c>
      <c r="X154" s="391"/>
      <c r="Y154" s="395"/>
      <c r="Z154" s="395"/>
      <c r="AA154" s="387">
        <f t="shared" si="15"/>
        <v>1980</v>
      </c>
    </row>
    <row r="155" spans="1:27" s="3" customFormat="1" x14ac:dyDescent="0.2">
      <c r="A155" s="402">
        <f t="shared" si="11"/>
        <v>153</v>
      </c>
      <c r="B155" s="401">
        <v>689</v>
      </c>
      <c r="C155" s="397" t="s">
        <v>1580</v>
      </c>
      <c r="D155" s="399">
        <f t="shared" si="13"/>
        <v>0.01</v>
      </c>
      <c r="E155" s="399">
        <f t="shared" si="14"/>
        <v>0.01</v>
      </c>
      <c r="F155" s="399">
        <v>0</v>
      </c>
      <c r="G155" s="399">
        <v>0</v>
      </c>
      <c r="H155" s="399">
        <v>0</v>
      </c>
      <c r="I155" s="399">
        <v>0</v>
      </c>
      <c r="J155" s="399">
        <v>0</v>
      </c>
      <c r="K155" s="399">
        <v>0</v>
      </c>
      <c r="L155" s="399">
        <v>0</v>
      </c>
      <c r="M155" s="399">
        <v>0</v>
      </c>
      <c r="N155" s="399">
        <v>0</v>
      </c>
      <c r="O155" s="399">
        <v>0</v>
      </c>
      <c r="P155" s="399">
        <v>0</v>
      </c>
      <c r="Q155" s="399">
        <v>0</v>
      </c>
      <c r="R155" s="399">
        <v>1.6659999999999999E-3</v>
      </c>
      <c r="S155" s="399">
        <v>0.01</v>
      </c>
      <c r="T155" s="399">
        <v>0.01</v>
      </c>
      <c r="U155" s="399">
        <v>0.01</v>
      </c>
      <c r="V155" s="402">
        <v>5</v>
      </c>
      <c r="W155" s="402" t="s">
        <v>812</v>
      </c>
      <c r="X155" s="725" t="s">
        <v>1566</v>
      </c>
      <c r="Y155" s="726"/>
      <c r="Z155" s="726"/>
      <c r="AA155" s="387">
        <f t="shared" si="15"/>
        <v>2015</v>
      </c>
    </row>
    <row r="156" spans="1:27" x14ac:dyDescent="0.2">
      <c r="A156" s="391">
        <f t="shared" si="11"/>
        <v>154</v>
      </c>
      <c r="B156" s="396">
        <v>450</v>
      </c>
      <c r="C156" s="397" t="s">
        <v>862</v>
      </c>
      <c r="D156" s="392">
        <f t="shared" si="13"/>
        <v>2.2499999999999999E-2</v>
      </c>
      <c r="E156" s="392">
        <f t="shared" si="14"/>
        <v>2.2499999999999999E-2</v>
      </c>
      <c r="F156" s="399">
        <v>0.02</v>
      </c>
      <c r="G156" s="399">
        <v>0.02</v>
      </c>
      <c r="H156" s="399">
        <v>0.02</v>
      </c>
      <c r="I156" s="399">
        <v>0.02</v>
      </c>
      <c r="J156" s="399">
        <v>0.02</v>
      </c>
      <c r="K156" s="399">
        <v>0.02</v>
      </c>
      <c r="L156" s="399">
        <v>0.02</v>
      </c>
      <c r="M156" s="399">
        <v>2.2499999999999999E-2</v>
      </c>
      <c r="N156" s="399">
        <v>2.2499999999999999E-2</v>
      </c>
      <c r="O156" s="399">
        <v>2.2499999999999999E-2</v>
      </c>
      <c r="P156" s="399">
        <v>0.02</v>
      </c>
      <c r="Q156" s="399">
        <v>0.02</v>
      </c>
      <c r="R156" s="399">
        <v>0.02</v>
      </c>
      <c r="S156" s="399">
        <v>2.1250000000000002E-2</v>
      </c>
      <c r="T156" s="399">
        <v>2.2499999999999999E-2</v>
      </c>
      <c r="U156" s="399">
        <v>2.2499999999999999E-2</v>
      </c>
      <c r="V156" s="402">
        <v>5</v>
      </c>
      <c r="W156" s="402" t="s">
        <v>812</v>
      </c>
      <c r="X156" s="725" t="s">
        <v>1604</v>
      </c>
      <c r="Y156" s="395"/>
      <c r="Z156" s="395"/>
      <c r="AA156" s="387">
        <f t="shared" si="15"/>
        <v>1980</v>
      </c>
    </row>
    <row r="157" spans="1:27" x14ac:dyDescent="0.2">
      <c r="A157" s="391">
        <f t="shared" si="11"/>
        <v>155</v>
      </c>
      <c r="B157" s="396">
        <v>451</v>
      </c>
      <c r="C157" s="397" t="s">
        <v>1477</v>
      </c>
      <c r="D157" s="392">
        <f t="shared" si="13"/>
        <v>2.2499999999999999E-2</v>
      </c>
      <c r="E157" s="392">
        <f t="shared" si="14"/>
        <v>2.2499999999999999E-2</v>
      </c>
      <c r="F157" s="399">
        <v>0.02</v>
      </c>
      <c r="G157" s="399">
        <v>0.02</v>
      </c>
      <c r="H157" s="399">
        <v>0.02</v>
      </c>
      <c r="I157" s="399">
        <v>0.02</v>
      </c>
      <c r="J157" s="399">
        <v>0.02</v>
      </c>
      <c r="K157" s="399">
        <v>0.02</v>
      </c>
      <c r="L157" s="399">
        <v>0.02</v>
      </c>
      <c r="M157" s="399">
        <v>2.2499999999999999E-2</v>
      </c>
      <c r="N157" s="399">
        <v>2.2499999999999999E-2</v>
      </c>
      <c r="O157" s="399">
        <v>2.2499999999999999E-2</v>
      </c>
      <c r="P157" s="399">
        <v>0.02</v>
      </c>
      <c r="Q157" s="399">
        <v>0.02</v>
      </c>
      <c r="R157" s="399">
        <v>0.02</v>
      </c>
      <c r="S157" s="399">
        <v>2.1250000000000002E-2</v>
      </c>
      <c r="T157" s="399">
        <v>2.2499999999999999E-2</v>
      </c>
      <c r="U157" s="399">
        <v>2.2499999999999999E-2</v>
      </c>
      <c r="V157" s="402">
        <v>5</v>
      </c>
      <c r="W157" s="391" t="s">
        <v>812</v>
      </c>
      <c r="X157" s="725" t="s">
        <v>1604</v>
      </c>
      <c r="Y157" s="395"/>
      <c r="Z157" s="395"/>
      <c r="AA157" s="387">
        <f t="shared" si="15"/>
        <v>1980</v>
      </c>
    </row>
    <row r="158" spans="1:27" s="3" customFormat="1" x14ac:dyDescent="0.2">
      <c r="A158" s="402">
        <f t="shared" si="11"/>
        <v>156</v>
      </c>
      <c r="B158" s="401">
        <v>452</v>
      </c>
      <c r="C158" s="739" t="s">
        <v>1612</v>
      </c>
      <c r="D158" s="399">
        <f t="shared" si="13"/>
        <v>0.01</v>
      </c>
      <c r="E158" s="399">
        <f t="shared" si="14"/>
        <v>0.01</v>
      </c>
      <c r="F158" s="399">
        <v>0.01</v>
      </c>
      <c r="G158" s="399">
        <v>0.01</v>
      </c>
      <c r="H158" s="399">
        <v>0.01</v>
      </c>
      <c r="I158" s="399">
        <v>0.01</v>
      </c>
      <c r="J158" s="399">
        <v>0.01</v>
      </c>
      <c r="K158" s="399">
        <v>0.01</v>
      </c>
      <c r="L158" s="399">
        <v>0.01</v>
      </c>
      <c r="M158" s="399">
        <v>0.01</v>
      </c>
      <c r="N158" s="399">
        <v>0.01</v>
      </c>
      <c r="O158" s="399">
        <v>0.01</v>
      </c>
      <c r="P158" s="399">
        <v>0.01</v>
      </c>
      <c r="Q158" s="399">
        <v>0.01</v>
      </c>
      <c r="R158" s="399">
        <v>0.01</v>
      </c>
      <c r="S158" s="399">
        <v>0.01</v>
      </c>
      <c r="T158" s="399">
        <v>0.01</v>
      </c>
      <c r="U158" s="399">
        <v>0.01</v>
      </c>
      <c r="V158" s="402">
        <v>5</v>
      </c>
      <c r="W158" s="402" t="s">
        <v>812</v>
      </c>
      <c r="X158" s="402"/>
      <c r="Y158" s="726"/>
      <c r="Z158" s="726"/>
      <c r="AA158" s="387">
        <f t="shared" si="15"/>
        <v>1980</v>
      </c>
    </row>
    <row r="159" spans="1:27" x14ac:dyDescent="0.2">
      <c r="A159" s="402">
        <f t="shared" si="11"/>
        <v>157</v>
      </c>
      <c r="B159" s="396">
        <v>454</v>
      </c>
      <c r="C159" s="394" t="s">
        <v>863</v>
      </c>
      <c r="D159" s="392">
        <f t="shared" si="13"/>
        <v>0.01</v>
      </c>
      <c r="E159" s="392">
        <f t="shared" si="14"/>
        <v>0.01</v>
      </c>
      <c r="F159" s="399">
        <v>0.01</v>
      </c>
      <c r="G159" s="399">
        <v>0.01</v>
      </c>
      <c r="H159" s="399">
        <v>0.01</v>
      </c>
      <c r="I159" s="399">
        <v>0.01</v>
      </c>
      <c r="J159" s="399">
        <v>0.01</v>
      </c>
      <c r="K159" s="399">
        <v>0.01</v>
      </c>
      <c r="L159" s="399">
        <v>0.01</v>
      </c>
      <c r="M159" s="399">
        <v>0.01</v>
      </c>
      <c r="N159" s="399">
        <v>0.01</v>
      </c>
      <c r="O159" s="399">
        <v>0.01</v>
      </c>
      <c r="P159" s="399">
        <v>0.01</v>
      </c>
      <c r="Q159" s="399">
        <v>0.01</v>
      </c>
      <c r="R159" s="399">
        <v>0.01</v>
      </c>
      <c r="S159" s="399">
        <v>0.01</v>
      </c>
      <c r="T159" s="399">
        <v>0.01</v>
      </c>
      <c r="U159" s="399">
        <v>0.01</v>
      </c>
      <c r="V159" s="402">
        <v>5</v>
      </c>
      <c r="W159" s="391" t="s">
        <v>812</v>
      </c>
      <c r="X159" s="391"/>
      <c r="Y159" s="395"/>
      <c r="Z159" s="395"/>
      <c r="AA159" s="387">
        <f t="shared" si="15"/>
        <v>1980</v>
      </c>
    </row>
    <row r="160" spans="1:27" s="773" customFormat="1" x14ac:dyDescent="0.2">
      <c r="A160" s="764">
        <f t="shared" si="11"/>
        <v>158</v>
      </c>
      <c r="B160" s="774">
        <v>455</v>
      </c>
      <c r="C160" s="775" t="s">
        <v>1663</v>
      </c>
      <c r="D160" s="767">
        <f t="shared" si="13"/>
        <v>0.01</v>
      </c>
      <c r="E160" s="767">
        <f t="shared" si="14"/>
        <v>0.01</v>
      </c>
      <c r="F160" s="767">
        <v>0.01</v>
      </c>
      <c r="G160" s="767">
        <v>0.01</v>
      </c>
      <c r="H160" s="767">
        <v>0.01</v>
      </c>
      <c r="I160" s="767">
        <v>0.01</v>
      </c>
      <c r="J160" s="767">
        <v>0.01</v>
      </c>
      <c r="K160" s="767">
        <v>0.01</v>
      </c>
      <c r="L160" s="767">
        <v>0.01</v>
      </c>
      <c r="M160" s="767">
        <v>0.01</v>
      </c>
      <c r="N160" s="767">
        <v>0.01</v>
      </c>
      <c r="O160" s="767">
        <v>0.01</v>
      </c>
      <c r="P160" s="767">
        <v>0.01</v>
      </c>
      <c r="Q160" s="767">
        <v>0.01</v>
      </c>
      <c r="R160" s="767">
        <v>0.01</v>
      </c>
      <c r="S160" s="767">
        <v>0.01</v>
      </c>
      <c r="T160" s="767">
        <v>0.01</v>
      </c>
      <c r="U160" s="767">
        <v>0.01</v>
      </c>
      <c r="V160" s="764">
        <v>0</v>
      </c>
      <c r="W160" s="764" t="s">
        <v>687</v>
      </c>
      <c r="X160" s="764"/>
      <c r="Y160" s="776"/>
      <c r="Z160" s="776"/>
      <c r="AA160" s="772">
        <f t="shared" si="15"/>
        <v>1980</v>
      </c>
    </row>
    <row r="161" spans="1:27" x14ac:dyDescent="0.2">
      <c r="A161" s="391">
        <f t="shared" si="11"/>
        <v>159</v>
      </c>
      <c r="B161" s="396">
        <v>456</v>
      </c>
      <c r="C161" s="394" t="s">
        <v>1471</v>
      </c>
      <c r="D161" s="392">
        <f t="shared" si="13"/>
        <v>0.01</v>
      </c>
      <c r="E161" s="392">
        <f t="shared" si="14"/>
        <v>0.01</v>
      </c>
      <c r="F161" s="399">
        <v>5.0000000000000001E-3</v>
      </c>
      <c r="G161" s="399">
        <v>5.0000000000000001E-3</v>
      </c>
      <c r="H161" s="399">
        <v>5.0000000000000001E-3</v>
      </c>
      <c r="I161" s="399">
        <v>0.01</v>
      </c>
      <c r="J161" s="399">
        <v>0.01</v>
      </c>
      <c r="K161" s="399">
        <v>0.01</v>
      </c>
      <c r="L161" s="399">
        <v>0.01</v>
      </c>
      <c r="M161" s="399">
        <v>0.01</v>
      </c>
      <c r="N161" s="399">
        <v>0.01</v>
      </c>
      <c r="O161" s="399">
        <v>0.01</v>
      </c>
      <c r="P161" s="399">
        <v>0.01</v>
      </c>
      <c r="Q161" s="399">
        <v>0.01</v>
      </c>
      <c r="R161" s="399">
        <v>0.01</v>
      </c>
      <c r="S161" s="399">
        <v>0.01</v>
      </c>
      <c r="T161" s="399">
        <v>0.01</v>
      </c>
      <c r="U161" s="399">
        <v>0.01</v>
      </c>
      <c r="V161" s="402">
        <v>5</v>
      </c>
      <c r="W161" s="391" t="s">
        <v>812</v>
      </c>
      <c r="X161" s="391"/>
      <c r="Y161" s="395"/>
      <c r="Z161" s="395"/>
      <c r="AA161" s="387">
        <f t="shared" si="15"/>
        <v>1980</v>
      </c>
    </row>
    <row r="162" spans="1:27" x14ac:dyDescent="0.2">
      <c r="A162" s="391">
        <f t="shared" si="11"/>
        <v>160</v>
      </c>
      <c r="B162" s="396">
        <v>460</v>
      </c>
      <c r="C162" s="394" t="s">
        <v>864</v>
      </c>
      <c r="D162" s="392">
        <f t="shared" si="13"/>
        <v>2.5000000000000001E-2</v>
      </c>
      <c r="E162" s="392">
        <f t="shared" si="14"/>
        <v>2.5000000000000001E-2</v>
      </c>
      <c r="F162" s="399">
        <v>0.02</v>
      </c>
      <c r="G162" s="399">
        <v>0.02</v>
      </c>
      <c r="H162" s="399">
        <v>0.02</v>
      </c>
      <c r="I162" s="399">
        <v>2.5000000000000001E-2</v>
      </c>
      <c r="J162" s="399">
        <v>2.5000000000000001E-2</v>
      </c>
      <c r="K162" s="399">
        <v>2.5000000000000001E-2</v>
      </c>
      <c r="L162" s="399">
        <v>2.5000000000000001E-2</v>
      </c>
      <c r="M162" s="399">
        <v>2.5000000000000001E-2</v>
      </c>
      <c r="N162" s="399">
        <v>2.5000000000000001E-2</v>
      </c>
      <c r="O162" s="399">
        <v>2.5000000000000001E-2</v>
      </c>
      <c r="P162" s="399">
        <v>2.5000000000000001E-2</v>
      </c>
      <c r="Q162" s="399">
        <v>2.5000000000000001E-2</v>
      </c>
      <c r="R162" s="399">
        <v>2.5000000000000001E-2</v>
      </c>
      <c r="S162" s="399">
        <v>2.5000000000000001E-2</v>
      </c>
      <c r="T162" s="399">
        <v>2.5000000000000001E-2</v>
      </c>
      <c r="U162" s="399">
        <v>2.5000000000000001E-2</v>
      </c>
      <c r="V162" s="402">
        <v>1</v>
      </c>
      <c r="W162" s="391" t="s">
        <v>812</v>
      </c>
      <c r="X162" s="391"/>
      <c r="Y162" s="395"/>
      <c r="Z162" s="395"/>
      <c r="AA162" s="387">
        <f t="shared" si="15"/>
        <v>1980</v>
      </c>
    </row>
    <row r="163" spans="1:27" s="3" customFormat="1" x14ac:dyDescent="0.2">
      <c r="A163" s="402">
        <f t="shared" si="11"/>
        <v>161</v>
      </c>
      <c r="B163" s="401">
        <v>690</v>
      </c>
      <c r="C163" s="397" t="s">
        <v>1581</v>
      </c>
      <c r="D163" s="399">
        <f t="shared" si="13"/>
        <v>0.01</v>
      </c>
      <c r="E163" s="399">
        <f t="shared" si="14"/>
        <v>0.01</v>
      </c>
      <c r="F163" s="399">
        <v>0</v>
      </c>
      <c r="G163" s="399">
        <v>0</v>
      </c>
      <c r="H163" s="399">
        <v>0</v>
      </c>
      <c r="I163" s="399">
        <v>0</v>
      </c>
      <c r="J163" s="399">
        <v>0</v>
      </c>
      <c r="K163" s="399">
        <v>0</v>
      </c>
      <c r="L163" s="399">
        <v>0</v>
      </c>
      <c r="M163" s="399">
        <v>0</v>
      </c>
      <c r="N163" s="399">
        <v>0</v>
      </c>
      <c r="O163" s="399">
        <v>0</v>
      </c>
      <c r="P163" s="399">
        <v>0</v>
      </c>
      <c r="Q163" s="399">
        <v>0</v>
      </c>
      <c r="R163" s="399">
        <v>8.3299999999999997E-4</v>
      </c>
      <c r="S163" s="399">
        <v>0.01</v>
      </c>
      <c r="T163" s="399">
        <v>0.01</v>
      </c>
      <c r="U163" s="399">
        <v>0.01</v>
      </c>
      <c r="V163" s="402">
        <v>5</v>
      </c>
      <c r="W163" s="402" t="s">
        <v>812</v>
      </c>
      <c r="X163" s="725" t="s">
        <v>1566</v>
      </c>
      <c r="Y163" s="726"/>
      <c r="Z163" s="726"/>
      <c r="AA163" s="387">
        <f t="shared" si="15"/>
        <v>2015</v>
      </c>
    </row>
    <row r="164" spans="1:27" x14ac:dyDescent="0.2">
      <c r="A164" s="391">
        <f t="shared" si="11"/>
        <v>162</v>
      </c>
      <c r="B164" s="396">
        <v>466</v>
      </c>
      <c r="C164" s="397" t="s">
        <v>865</v>
      </c>
      <c r="D164" s="392">
        <f t="shared" si="13"/>
        <v>0.01</v>
      </c>
      <c r="E164" s="392">
        <f t="shared" si="14"/>
        <v>0.01</v>
      </c>
      <c r="F164" s="399">
        <v>7.4999999999999997E-3</v>
      </c>
      <c r="G164" s="399">
        <v>7.4999999999999997E-3</v>
      </c>
      <c r="H164" s="399">
        <v>7.4999999999999997E-3</v>
      </c>
      <c r="I164" s="399">
        <v>7.4999999999999997E-3</v>
      </c>
      <c r="J164" s="399">
        <v>7.4999999999999997E-3</v>
      </c>
      <c r="K164" s="399">
        <v>7.4999999999999997E-3</v>
      </c>
      <c r="L164" s="399">
        <v>7.4999999999999997E-3</v>
      </c>
      <c r="M164" s="399">
        <v>7.4999999999999997E-3</v>
      </c>
      <c r="N164" s="399">
        <v>7.4999999999999997E-3</v>
      </c>
      <c r="O164" s="399">
        <v>7.4999999999999997E-3</v>
      </c>
      <c r="P164" s="399">
        <v>8.9580000000000007E-3</v>
      </c>
      <c r="Q164" s="399">
        <v>0.01</v>
      </c>
      <c r="R164" s="399">
        <v>0.01</v>
      </c>
      <c r="S164" s="399">
        <v>0.01</v>
      </c>
      <c r="T164" s="399">
        <v>0.01</v>
      </c>
      <c r="U164" s="399">
        <v>0.01</v>
      </c>
      <c r="V164" s="402">
        <v>5</v>
      </c>
      <c r="W164" s="391" t="s">
        <v>812</v>
      </c>
      <c r="X164" s="619" t="s">
        <v>1446</v>
      </c>
      <c r="Y164" s="395"/>
      <c r="Z164" s="395"/>
      <c r="AA164" s="387">
        <f t="shared" si="15"/>
        <v>1980</v>
      </c>
    </row>
    <row r="165" spans="1:27" x14ac:dyDescent="0.2">
      <c r="A165" s="391">
        <f t="shared" si="11"/>
        <v>163</v>
      </c>
      <c r="B165" s="396">
        <v>480</v>
      </c>
      <c r="C165" s="394" t="s">
        <v>866</v>
      </c>
      <c r="D165" s="392">
        <f t="shared" si="13"/>
        <v>0.01</v>
      </c>
      <c r="E165" s="392">
        <f t="shared" si="14"/>
        <v>0.01</v>
      </c>
      <c r="F165" s="399">
        <v>0.01</v>
      </c>
      <c r="G165" s="399">
        <v>0.01</v>
      </c>
      <c r="H165" s="399">
        <v>0.01</v>
      </c>
      <c r="I165" s="399">
        <v>0.01</v>
      </c>
      <c r="J165" s="399">
        <v>0.01</v>
      </c>
      <c r="K165" s="399">
        <v>0.01</v>
      </c>
      <c r="L165" s="399">
        <v>0.01</v>
      </c>
      <c r="M165" s="399">
        <v>0.01</v>
      </c>
      <c r="N165" s="399">
        <v>0.01</v>
      </c>
      <c r="O165" s="399">
        <v>0.01</v>
      </c>
      <c r="P165" s="399">
        <v>0.01</v>
      </c>
      <c r="Q165" s="399">
        <v>0.01</v>
      </c>
      <c r="R165" s="399">
        <v>0.01</v>
      </c>
      <c r="S165" s="399">
        <v>0.01</v>
      </c>
      <c r="T165" s="399">
        <v>0.01</v>
      </c>
      <c r="U165" s="399">
        <v>0.01</v>
      </c>
      <c r="V165" s="402">
        <v>5</v>
      </c>
      <c r="W165" s="391" t="s">
        <v>812</v>
      </c>
      <c r="X165" s="391"/>
      <c r="Y165" s="395"/>
      <c r="Z165" s="395"/>
      <c r="AA165" s="387">
        <f t="shared" si="15"/>
        <v>1980</v>
      </c>
    </row>
    <row r="166" spans="1:27" x14ac:dyDescent="0.2">
      <c r="A166" s="391">
        <f t="shared" si="11"/>
        <v>164</v>
      </c>
      <c r="B166" s="396">
        <v>485</v>
      </c>
      <c r="C166" s="394" t="s">
        <v>867</v>
      </c>
      <c r="D166" s="392">
        <f t="shared" si="13"/>
        <v>0.02</v>
      </c>
      <c r="E166" s="392">
        <f t="shared" si="14"/>
        <v>0.02</v>
      </c>
      <c r="F166" s="399">
        <v>1.4999999999999999E-2</v>
      </c>
      <c r="G166" s="399">
        <v>1.4999999999999999E-2</v>
      </c>
      <c r="H166" s="399">
        <v>1.4999999999999999E-2</v>
      </c>
      <c r="I166" s="399">
        <v>1.4999999999999999E-2</v>
      </c>
      <c r="J166" s="399">
        <v>1.4999999999999999E-2</v>
      </c>
      <c r="K166" s="399">
        <v>1.4999999999999999E-2</v>
      </c>
      <c r="L166" s="399">
        <v>0.02</v>
      </c>
      <c r="M166" s="399">
        <v>0.02</v>
      </c>
      <c r="N166" s="399">
        <v>0.02</v>
      </c>
      <c r="O166" s="399">
        <v>0.02</v>
      </c>
      <c r="P166" s="399">
        <v>0.02</v>
      </c>
      <c r="Q166" s="399">
        <v>0.02</v>
      </c>
      <c r="R166" s="399">
        <v>0.02</v>
      </c>
      <c r="S166" s="399">
        <v>0.02</v>
      </c>
      <c r="T166" s="399">
        <v>0.02</v>
      </c>
      <c r="U166" s="399">
        <v>0.02</v>
      </c>
      <c r="V166" s="402">
        <v>5</v>
      </c>
      <c r="W166" s="391" t="s">
        <v>812</v>
      </c>
      <c r="X166" s="391"/>
      <c r="Y166" s="395"/>
      <c r="Z166" s="395"/>
      <c r="AA166" s="387">
        <f t="shared" si="15"/>
        <v>1980</v>
      </c>
    </row>
    <row r="167" spans="1:27" x14ac:dyDescent="0.2">
      <c r="A167" s="391">
        <f t="shared" ref="A167:A172" si="17">+A166+1</f>
        <v>165</v>
      </c>
      <c r="B167" s="396">
        <v>475</v>
      </c>
      <c r="C167" s="394" t="s">
        <v>1368</v>
      </c>
      <c r="D167" s="392">
        <f t="shared" si="13"/>
        <v>0.01</v>
      </c>
      <c r="E167" s="392">
        <f t="shared" si="14"/>
        <v>0.01</v>
      </c>
      <c r="F167" s="510">
        <v>0.01</v>
      </c>
      <c r="G167" s="510">
        <v>0.01</v>
      </c>
      <c r="H167" s="510">
        <v>0.01</v>
      </c>
      <c r="I167" s="510">
        <v>0.01</v>
      </c>
      <c r="J167" s="510">
        <v>0.01</v>
      </c>
      <c r="K167" s="510">
        <v>0.01</v>
      </c>
      <c r="L167" s="399">
        <v>0.01</v>
      </c>
      <c r="M167" s="399">
        <v>0.01</v>
      </c>
      <c r="N167" s="399">
        <v>0.01</v>
      </c>
      <c r="O167" s="399">
        <v>0.01</v>
      </c>
      <c r="P167" s="399">
        <v>0.01</v>
      </c>
      <c r="Q167" s="399">
        <v>0.01</v>
      </c>
      <c r="R167" s="399">
        <v>0.01</v>
      </c>
      <c r="S167" s="399">
        <v>0.01</v>
      </c>
      <c r="T167" s="399">
        <v>0.01</v>
      </c>
      <c r="U167" s="399">
        <v>0.01</v>
      </c>
      <c r="V167" s="402">
        <v>5</v>
      </c>
      <c r="W167" s="512" t="s">
        <v>812</v>
      </c>
      <c r="X167" s="391"/>
      <c r="Y167" s="395"/>
      <c r="Z167" s="395"/>
      <c r="AA167" s="387">
        <f t="shared" si="15"/>
        <v>1980</v>
      </c>
    </row>
    <row r="168" spans="1:27" x14ac:dyDescent="0.2">
      <c r="A168" s="391">
        <f t="shared" si="17"/>
        <v>166</v>
      </c>
      <c r="B168" s="396">
        <v>478</v>
      </c>
      <c r="C168" s="397" t="s">
        <v>496</v>
      </c>
      <c r="D168" s="392">
        <f t="shared" si="13"/>
        <v>0.02</v>
      </c>
      <c r="E168" s="392">
        <f t="shared" si="14"/>
        <v>0.02</v>
      </c>
      <c r="F168" s="399">
        <v>0.02</v>
      </c>
      <c r="G168" s="399">
        <v>0.02</v>
      </c>
      <c r="H168" s="399">
        <v>0.02</v>
      </c>
      <c r="I168" s="399">
        <v>0.02</v>
      </c>
      <c r="J168" s="399">
        <v>0.02</v>
      </c>
      <c r="K168" s="399">
        <v>0.02</v>
      </c>
      <c r="L168" s="399">
        <v>0.02</v>
      </c>
      <c r="M168" s="399">
        <v>0.02</v>
      </c>
      <c r="N168" s="399">
        <v>0.02</v>
      </c>
      <c r="O168" s="399">
        <v>0.02</v>
      </c>
      <c r="P168" s="399">
        <v>0.02</v>
      </c>
      <c r="Q168" s="399">
        <v>0.02</v>
      </c>
      <c r="R168" s="399">
        <v>0.02</v>
      </c>
      <c r="S168" s="399">
        <v>0.02</v>
      </c>
      <c r="T168" s="399">
        <v>0.02</v>
      </c>
      <c r="U168" s="399">
        <v>0.02</v>
      </c>
      <c r="V168" s="402">
        <v>10</v>
      </c>
      <c r="W168" s="402" t="s">
        <v>812</v>
      </c>
      <c r="X168" s="391"/>
      <c r="Y168" s="395"/>
      <c r="Z168" s="395"/>
      <c r="AA168" s="387">
        <f t="shared" si="15"/>
        <v>1980</v>
      </c>
    </row>
    <row r="169" spans="1:27" x14ac:dyDescent="0.2">
      <c r="A169" s="391">
        <f t="shared" si="17"/>
        <v>167</v>
      </c>
      <c r="B169" s="396">
        <v>486</v>
      </c>
      <c r="C169" s="394" t="s">
        <v>868</v>
      </c>
      <c r="D169" s="392">
        <f t="shared" si="13"/>
        <v>0.01</v>
      </c>
      <c r="E169" s="392">
        <f t="shared" si="14"/>
        <v>0.01</v>
      </c>
      <c r="F169" s="399">
        <v>0.01</v>
      </c>
      <c r="G169" s="399">
        <v>0.01</v>
      </c>
      <c r="H169" s="399">
        <v>0.01</v>
      </c>
      <c r="I169" s="399">
        <v>0.01</v>
      </c>
      <c r="J169" s="399">
        <v>0.01</v>
      </c>
      <c r="K169" s="399">
        <v>0.01</v>
      </c>
      <c r="L169" s="399">
        <v>0.01</v>
      </c>
      <c r="M169" s="399">
        <v>0.01</v>
      </c>
      <c r="N169" s="399">
        <v>0.01</v>
      </c>
      <c r="O169" s="399">
        <v>0.01</v>
      </c>
      <c r="P169" s="399">
        <v>0.01</v>
      </c>
      <c r="Q169" s="399">
        <v>0.01</v>
      </c>
      <c r="R169" s="399">
        <v>0.01</v>
      </c>
      <c r="S169" s="399">
        <v>0.01</v>
      </c>
      <c r="T169" s="399">
        <v>0.01</v>
      </c>
      <c r="U169" s="399">
        <v>0.01</v>
      </c>
      <c r="V169" s="402">
        <v>0</v>
      </c>
      <c r="W169" s="391" t="s">
        <v>687</v>
      </c>
      <c r="X169" s="391"/>
      <c r="Y169" s="395"/>
      <c r="Z169" s="395"/>
      <c r="AA169" s="387">
        <f t="shared" si="15"/>
        <v>1980</v>
      </c>
    </row>
    <row r="170" spans="1:27" x14ac:dyDescent="0.2">
      <c r="A170" s="402">
        <f t="shared" si="17"/>
        <v>168</v>
      </c>
      <c r="B170" s="396">
        <v>487</v>
      </c>
      <c r="C170" s="738" t="s">
        <v>1613</v>
      </c>
      <c r="D170" s="392">
        <f t="shared" si="13"/>
        <v>1.2500000000000001E-2</v>
      </c>
      <c r="E170" s="392">
        <f t="shared" si="14"/>
        <v>1.2500000000000001E-2</v>
      </c>
      <c r="F170" s="399">
        <v>1.2500000000000001E-2</v>
      </c>
      <c r="G170" s="399">
        <v>1.2500000000000001E-2</v>
      </c>
      <c r="H170" s="399">
        <v>1.2500000000000001E-2</v>
      </c>
      <c r="I170" s="399">
        <v>1.2500000000000001E-2</v>
      </c>
      <c r="J170" s="399">
        <v>1.2500000000000001E-2</v>
      </c>
      <c r="K170" s="399">
        <v>1.2500000000000001E-2</v>
      </c>
      <c r="L170" s="399">
        <v>1.2500000000000001E-2</v>
      </c>
      <c r="M170" s="399">
        <v>1.2500000000000001E-2</v>
      </c>
      <c r="N170" s="399">
        <v>1.2500000000000001E-2</v>
      </c>
      <c r="O170" s="399">
        <v>1.2500000000000001E-2</v>
      </c>
      <c r="P170" s="399">
        <v>1.2500000000000001E-2</v>
      </c>
      <c r="Q170" s="399">
        <v>1.2500000000000001E-2</v>
      </c>
      <c r="R170" s="399">
        <v>1.2500000000000001E-2</v>
      </c>
      <c r="S170" s="399">
        <v>1.2500000000000001E-2</v>
      </c>
      <c r="T170" s="399">
        <v>1.2500000000000001E-2</v>
      </c>
      <c r="U170" s="399">
        <v>1.2500000000000001E-2</v>
      </c>
      <c r="V170" s="402">
        <v>5</v>
      </c>
      <c r="W170" s="391" t="s">
        <v>812</v>
      </c>
      <c r="X170" s="391"/>
      <c r="Y170" s="395"/>
      <c r="Z170" s="395"/>
      <c r="AA170" s="387">
        <f t="shared" si="15"/>
        <v>1980</v>
      </c>
    </row>
    <row r="171" spans="1:27" x14ac:dyDescent="0.2">
      <c r="A171" s="402">
        <f t="shared" si="17"/>
        <v>169</v>
      </c>
      <c r="B171" s="396">
        <v>149</v>
      </c>
      <c r="C171" s="738" t="s">
        <v>1614</v>
      </c>
      <c r="D171" s="392">
        <f t="shared" si="13"/>
        <v>1.2500000000000001E-2</v>
      </c>
      <c r="E171" s="392">
        <f t="shared" si="14"/>
        <v>1.2500000000000001E-2</v>
      </c>
      <c r="F171" s="399">
        <v>1.2500000000000001E-2</v>
      </c>
      <c r="G171" s="399">
        <v>1.2500000000000001E-2</v>
      </c>
      <c r="H171" s="399">
        <v>1.2500000000000001E-2</v>
      </c>
      <c r="I171" s="399">
        <v>1.2500000000000001E-2</v>
      </c>
      <c r="J171" s="399">
        <v>1.2500000000000001E-2</v>
      </c>
      <c r="K171" s="399">
        <v>1.2500000000000001E-2</v>
      </c>
      <c r="L171" s="399">
        <v>1.2500000000000001E-2</v>
      </c>
      <c r="M171" s="399">
        <v>1.2500000000000001E-2</v>
      </c>
      <c r="N171" s="399">
        <v>1.2500000000000001E-2</v>
      </c>
      <c r="O171" s="399">
        <v>1.2500000000000001E-2</v>
      </c>
      <c r="P171" s="399">
        <v>1.2500000000000001E-2</v>
      </c>
      <c r="Q171" s="399">
        <v>1.2500000000000001E-2</v>
      </c>
      <c r="R171" s="399">
        <v>1.2500000000000001E-2</v>
      </c>
      <c r="S171" s="399">
        <v>1.2500000000000001E-2</v>
      </c>
      <c r="T171" s="399">
        <v>1.2500000000000001E-2</v>
      </c>
      <c r="U171" s="399">
        <v>1.2500000000000001E-2</v>
      </c>
      <c r="V171" s="402">
        <v>5</v>
      </c>
      <c r="W171" s="391" t="s">
        <v>812</v>
      </c>
      <c r="X171" s="391"/>
      <c r="Y171" s="395"/>
      <c r="Z171" s="395"/>
      <c r="AA171" s="387">
        <f t="shared" si="15"/>
        <v>1980</v>
      </c>
    </row>
    <row r="172" spans="1:27" x14ac:dyDescent="0.2">
      <c r="A172" s="391">
        <f t="shared" si="17"/>
        <v>170</v>
      </c>
      <c r="B172" s="396">
        <v>489</v>
      </c>
      <c r="C172" s="394" t="s">
        <v>1181</v>
      </c>
      <c r="D172" s="392">
        <f t="shared" si="13"/>
        <v>0.01</v>
      </c>
      <c r="E172" s="392">
        <f t="shared" si="14"/>
        <v>0.01</v>
      </c>
      <c r="F172" s="399">
        <v>0</v>
      </c>
      <c r="G172" s="399">
        <v>0</v>
      </c>
      <c r="H172" s="399">
        <v>0</v>
      </c>
      <c r="I172" s="399">
        <v>0</v>
      </c>
      <c r="J172" s="399">
        <v>0</v>
      </c>
      <c r="K172" s="399">
        <v>0</v>
      </c>
      <c r="L172" s="399">
        <v>0.01</v>
      </c>
      <c r="M172" s="399">
        <v>0.01</v>
      </c>
      <c r="N172" s="399">
        <v>0.01</v>
      </c>
      <c r="O172" s="399">
        <v>0.01</v>
      </c>
      <c r="P172" s="399">
        <v>0.01</v>
      </c>
      <c r="Q172" s="399">
        <v>0.01</v>
      </c>
      <c r="R172" s="399">
        <v>0.01</v>
      </c>
      <c r="S172" s="399">
        <v>0.01</v>
      </c>
      <c r="T172" s="399">
        <v>0.01</v>
      </c>
      <c r="U172" s="399">
        <v>0.01</v>
      </c>
      <c r="V172" s="402">
        <v>5</v>
      </c>
      <c r="W172" s="391" t="s">
        <v>812</v>
      </c>
      <c r="X172" s="391"/>
      <c r="Y172" s="395"/>
      <c r="Z172" s="395"/>
      <c r="AA172" s="387">
        <f t="shared" si="15"/>
        <v>2009</v>
      </c>
    </row>
    <row r="173" spans="1:27" x14ac:dyDescent="0.2">
      <c r="A173" s="391">
        <f t="shared" si="11"/>
        <v>171</v>
      </c>
      <c r="B173" s="396">
        <v>490</v>
      </c>
      <c r="C173" s="397" t="s">
        <v>488</v>
      </c>
      <c r="D173" s="392">
        <f t="shared" si="13"/>
        <v>0.02</v>
      </c>
      <c r="E173" s="392">
        <f t="shared" si="14"/>
        <v>0.02</v>
      </c>
      <c r="F173" s="399">
        <v>0.02</v>
      </c>
      <c r="G173" s="399">
        <v>0.02</v>
      </c>
      <c r="H173" s="399">
        <v>0.02</v>
      </c>
      <c r="I173" s="399">
        <v>0.02</v>
      </c>
      <c r="J173" s="399">
        <v>0.02</v>
      </c>
      <c r="K173" s="399">
        <v>0.02</v>
      </c>
      <c r="L173" s="399">
        <v>0.02</v>
      </c>
      <c r="M173" s="399">
        <v>0.02</v>
      </c>
      <c r="N173" s="399">
        <v>0.02</v>
      </c>
      <c r="O173" s="399">
        <v>0.02</v>
      </c>
      <c r="P173" s="399">
        <v>0.02</v>
      </c>
      <c r="Q173" s="399">
        <v>0.02</v>
      </c>
      <c r="R173" s="399">
        <v>0.02</v>
      </c>
      <c r="S173" s="399">
        <v>0.02</v>
      </c>
      <c r="T173" s="399">
        <v>0.02</v>
      </c>
      <c r="U173" s="399">
        <v>0.02</v>
      </c>
      <c r="V173" s="402">
        <v>5</v>
      </c>
      <c r="W173" s="391" t="s">
        <v>812</v>
      </c>
      <c r="X173" s="391"/>
      <c r="Y173" s="395"/>
      <c r="Z173" s="395"/>
      <c r="AA173" s="387">
        <f t="shared" si="15"/>
        <v>1980</v>
      </c>
    </row>
    <row r="174" spans="1:27" x14ac:dyDescent="0.2">
      <c r="A174" s="391">
        <f t="shared" si="11"/>
        <v>172</v>
      </c>
      <c r="B174" s="396">
        <v>496</v>
      </c>
      <c r="C174" s="397" t="s">
        <v>1182</v>
      </c>
      <c r="D174" s="392">
        <f t="shared" si="13"/>
        <v>0.01</v>
      </c>
      <c r="E174" s="392">
        <f t="shared" si="14"/>
        <v>0.01</v>
      </c>
      <c r="F174" s="399">
        <v>0.01</v>
      </c>
      <c r="G174" s="399">
        <v>0.01</v>
      </c>
      <c r="H174" s="399">
        <v>0.01</v>
      </c>
      <c r="I174" s="399">
        <v>0.01</v>
      </c>
      <c r="J174" s="399">
        <v>0.01</v>
      </c>
      <c r="K174" s="399">
        <v>0.01</v>
      </c>
      <c r="L174" s="399">
        <v>0.01</v>
      </c>
      <c r="M174" s="399">
        <v>0.01</v>
      </c>
      <c r="N174" s="399">
        <v>0.01</v>
      </c>
      <c r="O174" s="399">
        <v>0.01</v>
      </c>
      <c r="P174" s="399">
        <v>0.01</v>
      </c>
      <c r="Q174" s="399">
        <v>0.01</v>
      </c>
      <c r="R174" s="399">
        <v>0.01</v>
      </c>
      <c r="S174" s="399">
        <v>0.01</v>
      </c>
      <c r="T174" s="399">
        <v>0.01</v>
      </c>
      <c r="U174" s="399">
        <v>0.01</v>
      </c>
      <c r="V174" s="402">
        <v>5</v>
      </c>
      <c r="W174" s="391" t="s">
        <v>812</v>
      </c>
      <c r="X174" s="391"/>
      <c r="Y174" s="395"/>
      <c r="Z174" s="395"/>
      <c r="AA174" s="387">
        <f t="shared" si="15"/>
        <v>1980</v>
      </c>
    </row>
    <row r="175" spans="1:27" x14ac:dyDescent="0.2">
      <c r="A175" s="391">
        <f t="shared" si="11"/>
        <v>173</v>
      </c>
      <c r="B175" s="396">
        <v>499</v>
      </c>
      <c r="C175" s="397" t="s">
        <v>1183</v>
      </c>
      <c r="D175" s="392">
        <f t="shared" si="13"/>
        <v>1.4999999999999999E-2</v>
      </c>
      <c r="E175" s="392">
        <f t="shared" si="14"/>
        <v>1.4999999999999999E-2</v>
      </c>
      <c r="F175" s="399">
        <v>1.4999999999999999E-2</v>
      </c>
      <c r="G175" s="399">
        <v>1.4999999999999999E-2</v>
      </c>
      <c r="H175" s="399">
        <v>1.4999999999999999E-2</v>
      </c>
      <c r="I175" s="399">
        <v>1.4999999999999999E-2</v>
      </c>
      <c r="J175" s="399">
        <v>1.4999999999999999E-2</v>
      </c>
      <c r="K175" s="399">
        <v>1.4999999999999999E-2</v>
      </c>
      <c r="L175" s="399">
        <v>1.4999999999999999E-2</v>
      </c>
      <c r="M175" s="399">
        <v>1.4999999999999999E-2</v>
      </c>
      <c r="N175" s="399">
        <v>1.4999999999999999E-2</v>
      </c>
      <c r="O175" s="399">
        <v>1.4999999999999999E-2</v>
      </c>
      <c r="P175" s="399">
        <v>1.4999999999999999E-2</v>
      </c>
      <c r="Q175" s="399">
        <v>1.4999999999999999E-2</v>
      </c>
      <c r="R175" s="399">
        <v>1.4999999999999999E-2</v>
      </c>
      <c r="S175" s="399">
        <v>1.4999999999999999E-2</v>
      </c>
      <c r="T175" s="399">
        <v>1.4999999999999999E-2</v>
      </c>
      <c r="U175" s="399">
        <v>1.4999999999999999E-2</v>
      </c>
      <c r="V175" s="402">
        <v>5</v>
      </c>
      <c r="W175" s="391" t="s">
        <v>812</v>
      </c>
      <c r="X175" s="391"/>
      <c r="Y175" s="395"/>
      <c r="Z175" s="395"/>
      <c r="AA175" s="387">
        <f t="shared" si="15"/>
        <v>1980</v>
      </c>
    </row>
    <row r="176" spans="1:27" x14ac:dyDescent="0.2">
      <c r="A176" s="391">
        <f t="shared" si="11"/>
        <v>174</v>
      </c>
      <c r="B176" s="396">
        <v>500</v>
      </c>
      <c r="C176" s="394" t="s">
        <v>869</v>
      </c>
      <c r="D176" s="392">
        <f t="shared" si="13"/>
        <v>0.02</v>
      </c>
      <c r="E176" s="392">
        <f t="shared" si="14"/>
        <v>0.02</v>
      </c>
      <c r="F176" s="399">
        <v>1.7500000000000002E-2</v>
      </c>
      <c r="G176" s="399">
        <v>1.7500000000000002E-2</v>
      </c>
      <c r="H176" s="399">
        <v>1.7500000000000002E-2</v>
      </c>
      <c r="I176" s="399">
        <v>0.02</v>
      </c>
      <c r="J176" s="399">
        <v>0.02</v>
      </c>
      <c r="K176" s="399">
        <v>0.02</v>
      </c>
      <c r="L176" s="399">
        <v>0.02</v>
      </c>
      <c r="M176" s="399">
        <v>0.02</v>
      </c>
      <c r="N176" s="399">
        <v>0.02</v>
      </c>
      <c r="O176" s="399">
        <v>0.02</v>
      </c>
      <c r="P176" s="399">
        <v>0.02</v>
      </c>
      <c r="Q176" s="399">
        <v>0.02</v>
      </c>
      <c r="R176" s="399">
        <v>0.02</v>
      </c>
      <c r="S176" s="399">
        <v>0.02</v>
      </c>
      <c r="T176" s="399">
        <v>0.02</v>
      </c>
      <c r="U176" s="399">
        <v>0.02</v>
      </c>
      <c r="V176" s="402">
        <v>5</v>
      </c>
      <c r="W176" s="391" t="s">
        <v>812</v>
      </c>
      <c r="X176" s="391"/>
      <c r="Y176" s="395"/>
      <c r="Z176" s="395"/>
      <c r="AA176" s="387">
        <f t="shared" si="15"/>
        <v>1980</v>
      </c>
    </row>
    <row r="177" spans="1:27" x14ac:dyDescent="0.2">
      <c r="A177" s="391">
        <f t="shared" si="11"/>
        <v>175</v>
      </c>
      <c r="B177" s="396">
        <v>503</v>
      </c>
      <c r="C177" s="394" t="s">
        <v>1284</v>
      </c>
      <c r="D177" s="392">
        <f t="shared" si="13"/>
        <v>0.01</v>
      </c>
      <c r="E177" s="392">
        <f t="shared" si="14"/>
        <v>0.01</v>
      </c>
      <c r="F177" s="399">
        <v>0.01</v>
      </c>
      <c r="G177" s="399">
        <v>0.01</v>
      </c>
      <c r="H177" s="399">
        <v>0.01</v>
      </c>
      <c r="I177" s="399">
        <v>0.01</v>
      </c>
      <c r="J177" s="399">
        <v>0.01</v>
      </c>
      <c r="K177" s="399">
        <v>0.01</v>
      </c>
      <c r="L177" s="399">
        <v>0.01</v>
      </c>
      <c r="M177" s="399">
        <v>0.01</v>
      </c>
      <c r="N177" s="399">
        <v>0.01</v>
      </c>
      <c r="O177" s="399">
        <v>0.01</v>
      </c>
      <c r="P177" s="399">
        <v>0.01</v>
      </c>
      <c r="Q177" s="399">
        <v>0.01</v>
      </c>
      <c r="R177" s="399">
        <v>0.01</v>
      </c>
      <c r="S177" s="399">
        <v>0.01</v>
      </c>
      <c r="T177" s="399">
        <v>0.01</v>
      </c>
      <c r="U177" s="399">
        <v>0.01</v>
      </c>
      <c r="V177" s="404">
        <v>0</v>
      </c>
      <c r="W177" s="404" t="s">
        <v>812</v>
      </c>
      <c r="X177" s="405"/>
      <c r="Y177" s="395"/>
      <c r="Z177" s="395"/>
      <c r="AA177" s="387">
        <f t="shared" si="15"/>
        <v>1980</v>
      </c>
    </row>
    <row r="178" spans="1:27" s="3" customFormat="1" x14ac:dyDescent="0.2">
      <c r="A178" s="402">
        <f t="shared" si="11"/>
        <v>176</v>
      </c>
      <c r="B178" s="401">
        <v>512</v>
      </c>
      <c r="C178" s="397" t="s">
        <v>1575</v>
      </c>
      <c r="D178" s="399">
        <f t="shared" si="13"/>
        <v>0.01</v>
      </c>
      <c r="E178" s="399">
        <f t="shared" si="14"/>
        <v>0.01</v>
      </c>
      <c r="F178" s="399">
        <v>0</v>
      </c>
      <c r="G178" s="399">
        <v>0</v>
      </c>
      <c r="H178" s="399">
        <v>0</v>
      </c>
      <c r="I178" s="399">
        <v>0</v>
      </c>
      <c r="J178" s="399">
        <v>0</v>
      </c>
      <c r="K178" s="399">
        <v>0</v>
      </c>
      <c r="L178" s="399">
        <v>0</v>
      </c>
      <c r="M178" s="399">
        <v>0.01</v>
      </c>
      <c r="N178" s="399">
        <v>0.01</v>
      </c>
      <c r="O178" s="399">
        <v>0.01</v>
      </c>
      <c r="P178" s="399">
        <v>0.01</v>
      </c>
      <c r="Q178" s="399">
        <v>0.01</v>
      </c>
      <c r="R178" s="399">
        <v>0.01</v>
      </c>
      <c r="S178" s="399">
        <v>0.01</v>
      </c>
      <c r="T178" s="399">
        <v>0.01</v>
      </c>
      <c r="U178" s="399">
        <v>0.01</v>
      </c>
      <c r="V178" s="404">
        <v>5</v>
      </c>
      <c r="W178" s="404" t="s">
        <v>812</v>
      </c>
      <c r="X178" s="405"/>
      <c r="Y178" s="726"/>
      <c r="Z178" s="726"/>
      <c r="AA178" s="387">
        <f t="shared" si="15"/>
        <v>2010</v>
      </c>
    </row>
    <row r="179" spans="1:27" x14ac:dyDescent="0.2">
      <c r="A179" s="391">
        <f t="shared" si="11"/>
        <v>177</v>
      </c>
      <c r="B179" s="396">
        <v>501</v>
      </c>
      <c r="C179" s="394" t="s">
        <v>1369</v>
      </c>
      <c r="D179" s="392">
        <f t="shared" si="13"/>
        <v>0.01</v>
      </c>
      <c r="E179" s="392">
        <f t="shared" si="14"/>
        <v>0.01</v>
      </c>
      <c r="F179" s="399">
        <v>0</v>
      </c>
      <c r="G179" s="399">
        <v>0</v>
      </c>
      <c r="H179" s="399">
        <v>0</v>
      </c>
      <c r="I179" s="399">
        <v>0</v>
      </c>
      <c r="J179" s="399">
        <v>0</v>
      </c>
      <c r="K179" s="399">
        <v>0</v>
      </c>
      <c r="L179" s="399">
        <v>0</v>
      </c>
      <c r="M179" s="399">
        <v>0.01</v>
      </c>
      <c r="N179" s="399">
        <v>0.01</v>
      </c>
      <c r="O179" s="399">
        <v>0.01</v>
      </c>
      <c r="P179" s="399">
        <v>0.01</v>
      </c>
      <c r="Q179" s="399">
        <v>0.01</v>
      </c>
      <c r="R179" s="399">
        <v>0.01</v>
      </c>
      <c r="S179" s="399">
        <v>0.01</v>
      </c>
      <c r="T179" s="399">
        <v>0.01</v>
      </c>
      <c r="U179" s="399">
        <v>0.01</v>
      </c>
      <c r="V179" s="404">
        <v>0</v>
      </c>
      <c r="W179" s="404" t="s">
        <v>687</v>
      </c>
      <c r="X179" s="405"/>
      <c r="Y179" s="395"/>
      <c r="Z179" s="395"/>
      <c r="AA179" s="387">
        <f t="shared" si="15"/>
        <v>2010</v>
      </c>
    </row>
    <row r="180" spans="1:27" x14ac:dyDescent="0.2">
      <c r="A180" s="391">
        <f>+A179+1</f>
        <v>178</v>
      </c>
      <c r="B180" s="396">
        <v>505</v>
      </c>
      <c r="C180" s="394" t="s">
        <v>870</v>
      </c>
      <c r="D180" s="392">
        <f t="shared" si="13"/>
        <v>0.01</v>
      </c>
      <c r="E180" s="392">
        <f t="shared" si="14"/>
        <v>0.01</v>
      </c>
      <c r="F180" s="399">
        <v>5.0000000000000001E-3</v>
      </c>
      <c r="G180" s="399">
        <v>5.0000000000000001E-3</v>
      </c>
      <c r="H180" s="399">
        <v>5.0000000000000001E-3</v>
      </c>
      <c r="I180" s="399">
        <v>5.0000000000000001E-3</v>
      </c>
      <c r="J180" s="399">
        <v>5.0000000000000001E-3</v>
      </c>
      <c r="K180" s="399">
        <v>5.0000000000000001E-3</v>
      </c>
      <c r="L180" s="399">
        <v>7.4999999999999997E-3</v>
      </c>
      <c r="M180" s="399">
        <v>0.01</v>
      </c>
      <c r="N180" s="399">
        <v>0.01</v>
      </c>
      <c r="O180" s="399">
        <v>0.01</v>
      </c>
      <c r="P180" s="399">
        <v>0.01</v>
      </c>
      <c r="Q180" s="399">
        <v>0.01</v>
      </c>
      <c r="R180" s="399">
        <v>0.01</v>
      </c>
      <c r="S180" s="399">
        <v>0.01</v>
      </c>
      <c r="T180" s="399">
        <v>0.01</v>
      </c>
      <c r="U180" s="399">
        <v>0.01</v>
      </c>
      <c r="V180" s="402">
        <v>5</v>
      </c>
      <c r="W180" s="391" t="s">
        <v>812</v>
      </c>
      <c r="X180" s="391"/>
      <c r="Y180" s="395"/>
      <c r="Z180" s="395"/>
      <c r="AA180" s="387">
        <f t="shared" si="15"/>
        <v>1980</v>
      </c>
    </row>
    <row r="181" spans="1:27" x14ac:dyDescent="0.2">
      <c r="A181" s="391">
        <f t="shared" si="11"/>
        <v>179</v>
      </c>
      <c r="B181" s="401">
        <v>513</v>
      </c>
      <c r="C181" s="397" t="s">
        <v>871</v>
      </c>
      <c r="D181" s="392">
        <f t="shared" si="13"/>
        <v>0.01</v>
      </c>
      <c r="E181" s="392">
        <f t="shared" si="14"/>
        <v>0.01</v>
      </c>
      <c r="F181" s="399">
        <v>0.01</v>
      </c>
      <c r="G181" s="399">
        <v>0.01</v>
      </c>
      <c r="H181" s="399">
        <v>0.01</v>
      </c>
      <c r="I181" s="399">
        <v>0.01</v>
      </c>
      <c r="J181" s="399">
        <v>0.01</v>
      </c>
      <c r="K181" s="399">
        <v>0.01</v>
      </c>
      <c r="L181" s="399">
        <v>0.01</v>
      </c>
      <c r="M181" s="399">
        <v>0.01</v>
      </c>
      <c r="N181" s="399">
        <v>0.01</v>
      </c>
      <c r="O181" s="399">
        <v>0.01</v>
      </c>
      <c r="P181" s="399">
        <v>0.01</v>
      </c>
      <c r="Q181" s="399">
        <v>0.01</v>
      </c>
      <c r="R181" s="399">
        <v>0.01</v>
      </c>
      <c r="S181" s="399">
        <v>0.01</v>
      </c>
      <c r="T181" s="399">
        <v>0.01</v>
      </c>
      <c r="U181" s="399">
        <v>0.01</v>
      </c>
      <c r="V181" s="402">
        <v>5</v>
      </c>
      <c r="W181" s="391" t="s">
        <v>812</v>
      </c>
      <c r="X181" s="391"/>
      <c r="Y181" s="395"/>
      <c r="Z181" s="395"/>
      <c r="AA181" s="387">
        <f t="shared" si="15"/>
        <v>1980</v>
      </c>
    </row>
    <row r="182" spans="1:27" x14ac:dyDescent="0.2">
      <c r="A182" s="391">
        <f t="shared" ref="A182:A191" si="18">+A181+1</f>
        <v>180</v>
      </c>
      <c r="B182" s="396">
        <v>507</v>
      </c>
      <c r="C182" s="394" t="s">
        <v>872</v>
      </c>
      <c r="D182" s="392">
        <f t="shared" si="13"/>
        <v>0.01</v>
      </c>
      <c r="E182" s="392">
        <f t="shared" si="14"/>
        <v>0.01</v>
      </c>
      <c r="F182" s="399">
        <v>0.01</v>
      </c>
      <c r="G182" s="399">
        <v>0.01</v>
      </c>
      <c r="H182" s="399">
        <v>0.01</v>
      </c>
      <c r="I182" s="399">
        <v>0.01</v>
      </c>
      <c r="J182" s="399">
        <v>0.01</v>
      </c>
      <c r="K182" s="399">
        <v>0.01</v>
      </c>
      <c r="L182" s="399">
        <v>0.01</v>
      </c>
      <c r="M182" s="399">
        <v>0.01</v>
      </c>
      <c r="N182" s="399">
        <v>0.01</v>
      </c>
      <c r="O182" s="399">
        <v>0.01</v>
      </c>
      <c r="P182" s="399">
        <v>0.01</v>
      </c>
      <c r="Q182" s="399">
        <v>0.01</v>
      </c>
      <c r="R182" s="399">
        <v>0.01</v>
      </c>
      <c r="S182" s="399">
        <v>0.01</v>
      </c>
      <c r="T182" s="399">
        <v>0.01</v>
      </c>
      <c r="U182" s="399">
        <v>0.01</v>
      </c>
      <c r="V182" s="402">
        <v>5</v>
      </c>
      <c r="W182" s="391" t="s">
        <v>812</v>
      </c>
      <c r="X182" s="619"/>
      <c r="Y182" s="395"/>
      <c r="Z182" s="395"/>
      <c r="AA182" s="387">
        <f t="shared" si="15"/>
        <v>1980</v>
      </c>
    </row>
    <row r="183" spans="1:27" x14ac:dyDescent="0.2">
      <c r="A183" s="391">
        <f t="shared" si="18"/>
        <v>181</v>
      </c>
      <c r="B183" s="401">
        <v>523</v>
      </c>
      <c r="C183" s="397" t="s">
        <v>1513</v>
      </c>
      <c r="D183" s="399">
        <f t="shared" si="13"/>
        <v>0.01</v>
      </c>
      <c r="E183" s="392">
        <f t="shared" si="14"/>
        <v>0.01</v>
      </c>
      <c r="F183" s="399">
        <v>0</v>
      </c>
      <c r="G183" s="399">
        <v>0</v>
      </c>
      <c r="H183" s="399">
        <v>0</v>
      </c>
      <c r="I183" s="399">
        <v>5.0000000000000001E-3</v>
      </c>
      <c r="J183" s="399">
        <v>0.01</v>
      </c>
      <c r="K183" s="399">
        <v>0.01</v>
      </c>
      <c r="L183" s="399">
        <v>0.01</v>
      </c>
      <c r="M183" s="399">
        <v>0.01</v>
      </c>
      <c r="N183" s="399">
        <v>0.01</v>
      </c>
      <c r="O183" s="399">
        <v>0.01</v>
      </c>
      <c r="P183" s="399">
        <v>0.01</v>
      </c>
      <c r="Q183" s="399">
        <v>0.01</v>
      </c>
      <c r="R183" s="399">
        <v>0.01</v>
      </c>
      <c r="S183" s="399">
        <v>0.01</v>
      </c>
      <c r="T183" s="399">
        <v>0.01</v>
      </c>
      <c r="U183" s="399">
        <v>0.01</v>
      </c>
      <c r="V183" s="402">
        <v>5</v>
      </c>
      <c r="W183" s="693" t="s">
        <v>812</v>
      </c>
      <c r="X183" s="725" t="s">
        <v>1551</v>
      </c>
      <c r="Y183" s="395"/>
      <c r="Z183" s="395"/>
      <c r="AA183" s="387">
        <f t="shared" si="15"/>
        <v>2006</v>
      </c>
    </row>
    <row r="184" spans="1:27" x14ac:dyDescent="0.2">
      <c r="A184" s="391">
        <f t="shared" si="18"/>
        <v>182</v>
      </c>
      <c r="B184" s="401">
        <v>613</v>
      </c>
      <c r="C184" s="397" t="s">
        <v>1514</v>
      </c>
      <c r="D184" s="399">
        <f t="shared" si="13"/>
        <v>0.01</v>
      </c>
      <c r="E184" s="392">
        <f t="shared" si="14"/>
        <v>0.01</v>
      </c>
      <c r="F184" s="399">
        <v>0</v>
      </c>
      <c r="G184" s="399">
        <v>0</v>
      </c>
      <c r="H184" s="399">
        <v>0</v>
      </c>
      <c r="I184" s="399">
        <v>0</v>
      </c>
      <c r="J184" s="399">
        <v>0</v>
      </c>
      <c r="K184" s="399">
        <v>0</v>
      </c>
      <c r="L184" s="399">
        <v>0</v>
      </c>
      <c r="M184" s="399">
        <v>0</v>
      </c>
      <c r="N184" s="399">
        <f>ROUND(8/12*0.01,4)</f>
        <v>6.7000000000000002E-3</v>
      </c>
      <c r="O184" s="399">
        <v>0.01</v>
      </c>
      <c r="P184" s="399">
        <v>0.01</v>
      </c>
      <c r="Q184" s="399">
        <v>0.01</v>
      </c>
      <c r="R184" s="399">
        <v>0.01</v>
      </c>
      <c r="S184" s="399">
        <v>0.01</v>
      </c>
      <c r="T184" s="399">
        <v>0.01</v>
      </c>
      <c r="U184" s="399">
        <v>0.01</v>
      </c>
      <c r="V184" s="402">
        <v>5</v>
      </c>
      <c r="W184" s="693" t="s">
        <v>812</v>
      </c>
      <c r="X184" s="725" t="s">
        <v>1481</v>
      </c>
      <c r="Y184" s="395"/>
      <c r="Z184" s="395"/>
      <c r="AA184" s="387">
        <f t="shared" si="15"/>
        <v>2011</v>
      </c>
    </row>
    <row r="185" spans="1:27" x14ac:dyDescent="0.2">
      <c r="A185" s="391">
        <f t="shared" si="18"/>
        <v>183</v>
      </c>
      <c r="B185" s="401">
        <v>622</v>
      </c>
      <c r="C185" s="397" t="s">
        <v>1515</v>
      </c>
      <c r="D185" s="399">
        <f t="shared" si="13"/>
        <v>0.01</v>
      </c>
      <c r="E185" s="392">
        <f t="shared" si="14"/>
        <v>0.01</v>
      </c>
      <c r="F185" s="399">
        <v>0</v>
      </c>
      <c r="G185" s="399">
        <v>0</v>
      </c>
      <c r="H185" s="399">
        <v>0</v>
      </c>
      <c r="I185" s="399">
        <v>0</v>
      </c>
      <c r="J185" s="399">
        <v>0</v>
      </c>
      <c r="K185" s="399">
        <v>0</v>
      </c>
      <c r="L185" s="399">
        <v>0</v>
      </c>
      <c r="M185" s="399">
        <v>0</v>
      </c>
      <c r="N185" s="399">
        <v>0</v>
      </c>
      <c r="O185" s="399">
        <f>ROUND(7/12*0.01,4)</f>
        <v>5.7999999999999996E-3</v>
      </c>
      <c r="P185" s="399">
        <v>0.01</v>
      </c>
      <c r="Q185" s="399">
        <v>0.01</v>
      </c>
      <c r="R185" s="399">
        <v>0.01</v>
      </c>
      <c r="S185" s="399">
        <v>0.01</v>
      </c>
      <c r="T185" s="399">
        <v>0.01</v>
      </c>
      <c r="U185" s="399">
        <v>0.01</v>
      </c>
      <c r="V185" s="402">
        <v>5</v>
      </c>
      <c r="W185" s="693" t="s">
        <v>812</v>
      </c>
      <c r="X185" s="725" t="s">
        <v>1480</v>
      </c>
      <c r="Y185" s="395"/>
      <c r="Z185" s="395"/>
      <c r="AA185" s="387">
        <f t="shared" si="15"/>
        <v>2012</v>
      </c>
    </row>
    <row r="186" spans="1:27" x14ac:dyDescent="0.2">
      <c r="A186" s="391">
        <f t="shared" si="18"/>
        <v>184</v>
      </c>
      <c r="B186" s="401">
        <v>623</v>
      </c>
      <c r="C186" s="397" t="s">
        <v>1516</v>
      </c>
      <c r="D186" s="399">
        <f t="shared" si="13"/>
        <v>0.01</v>
      </c>
      <c r="E186" s="392">
        <f t="shared" si="14"/>
        <v>0.01</v>
      </c>
      <c r="F186" s="399">
        <v>0</v>
      </c>
      <c r="G186" s="399">
        <v>0</v>
      </c>
      <c r="H186" s="399">
        <v>0</v>
      </c>
      <c r="I186" s="399">
        <v>0</v>
      </c>
      <c r="J186" s="399">
        <v>0</v>
      </c>
      <c r="K186" s="399">
        <v>0</v>
      </c>
      <c r="L186" s="399">
        <v>0</v>
      </c>
      <c r="M186" s="399">
        <v>0</v>
      </c>
      <c r="N186" s="399">
        <v>0</v>
      </c>
      <c r="O186" s="399">
        <f>ROUND(3/12*0.01,4)</f>
        <v>2.5000000000000001E-3</v>
      </c>
      <c r="P186" s="399">
        <v>0.01</v>
      </c>
      <c r="Q186" s="399">
        <v>0.01</v>
      </c>
      <c r="R186" s="399">
        <v>0.01</v>
      </c>
      <c r="S186" s="399">
        <v>0.01</v>
      </c>
      <c r="T186" s="399">
        <v>0.01</v>
      </c>
      <c r="U186" s="399">
        <v>0.01</v>
      </c>
      <c r="V186" s="402">
        <v>5</v>
      </c>
      <c r="W186" s="693" t="s">
        <v>812</v>
      </c>
      <c r="X186" s="725" t="s">
        <v>1480</v>
      </c>
      <c r="Y186" s="395"/>
      <c r="Z186" s="395"/>
      <c r="AA186" s="387">
        <f t="shared" si="15"/>
        <v>2012</v>
      </c>
    </row>
    <row r="187" spans="1:27" s="773" customFormat="1" x14ac:dyDescent="0.2">
      <c r="A187" s="764">
        <f t="shared" si="18"/>
        <v>185</v>
      </c>
      <c r="B187" s="774">
        <v>628</v>
      </c>
      <c r="C187" s="775" t="s">
        <v>1664</v>
      </c>
      <c r="D187" s="767">
        <f t="shared" si="13"/>
        <v>5.0000000000000001E-3</v>
      </c>
      <c r="E187" s="767">
        <f t="shared" si="14"/>
        <v>0.01</v>
      </c>
      <c r="F187" s="767">
        <v>0</v>
      </c>
      <c r="G187" s="767">
        <v>0</v>
      </c>
      <c r="H187" s="767">
        <v>0</v>
      </c>
      <c r="I187" s="767">
        <v>0</v>
      </c>
      <c r="J187" s="767">
        <v>0</v>
      </c>
      <c r="K187" s="767">
        <v>0</v>
      </c>
      <c r="L187" s="767">
        <v>0</v>
      </c>
      <c r="M187" s="767">
        <v>0</v>
      </c>
      <c r="N187" s="767">
        <v>0</v>
      </c>
      <c r="O187" s="767">
        <v>0</v>
      </c>
      <c r="P187" s="767">
        <v>0</v>
      </c>
      <c r="Q187" s="767">
        <v>0</v>
      </c>
      <c r="R187" s="767">
        <v>0</v>
      </c>
      <c r="S187" s="767">
        <v>0</v>
      </c>
      <c r="T187" s="767">
        <v>5.0000000000000001E-3</v>
      </c>
      <c r="U187" s="767">
        <v>0.01</v>
      </c>
      <c r="V187" s="764">
        <v>5</v>
      </c>
      <c r="W187" s="772" t="s">
        <v>812</v>
      </c>
      <c r="X187" s="779" t="s">
        <v>1654</v>
      </c>
      <c r="Y187" s="776"/>
      <c r="Z187" s="776"/>
      <c r="AA187" s="772">
        <f t="shared" si="15"/>
        <v>2017</v>
      </c>
    </row>
    <row r="188" spans="1:27" x14ac:dyDescent="0.2">
      <c r="A188" s="391">
        <f t="shared" si="18"/>
        <v>186</v>
      </c>
      <c r="B188" s="396">
        <v>558</v>
      </c>
      <c r="C188" s="394" t="s">
        <v>1370</v>
      </c>
      <c r="D188" s="392">
        <f t="shared" si="13"/>
        <v>0.01</v>
      </c>
      <c r="E188" s="392">
        <f t="shared" si="14"/>
        <v>0.01</v>
      </c>
      <c r="F188" s="399">
        <v>0</v>
      </c>
      <c r="G188" s="399">
        <v>0</v>
      </c>
      <c r="H188" s="399">
        <v>0</v>
      </c>
      <c r="I188" s="399">
        <v>0</v>
      </c>
      <c r="J188" s="399">
        <v>0</v>
      </c>
      <c r="K188" s="399">
        <v>0</v>
      </c>
      <c r="L188" s="399">
        <v>0</v>
      </c>
      <c r="M188" s="399">
        <v>0.01</v>
      </c>
      <c r="N188" s="399">
        <v>0.01</v>
      </c>
      <c r="O188" s="399">
        <v>0.01</v>
      </c>
      <c r="P188" s="399">
        <v>0.01</v>
      </c>
      <c r="Q188" s="399">
        <v>0.01</v>
      </c>
      <c r="R188" s="399">
        <v>0.01</v>
      </c>
      <c r="S188" s="399">
        <v>0.01</v>
      </c>
      <c r="T188" s="399">
        <v>0.01</v>
      </c>
      <c r="U188" s="399">
        <v>0.01</v>
      </c>
      <c r="V188" s="402">
        <v>5</v>
      </c>
      <c r="W188" s="391" t="s">
        <v>812</v>
      </c>
      <c r="X188" s="391"/>
      <c r="Y188" s="395"/>
      <c r="Z188" s="395"/>
      <c r="AA188" s="387">
        <f t="shared" si="15"/>
        <v>2010</v>
      </c>
    </row>
    <row r="189" spans="1:27" s="3" customFormat="1" x14ac:dyDescent="0.2">
      <c r="A189" s="402">
        <f t="shared" si="18"/>
        <v>187</v>
      </c>
      <c r="B189" s="401">
        <v>692</v>
      </c>
      <c r="C189" s="397" t="s">
        <v>1582</v>
      </c>
      <c r="D189" s="399">
        <f t="shared" si="13"/>
        <v>0.01</v>
      </c>
      <c r="E189" s="399">
        <f t="shared" si="14"/>
        <v>0.01</v>
      </c>
      <c r="F189" s="399">
        <v>0</v>
      </c>
      <c r="G189" s="399">
        <v>0</v>
      </c>
      <c r="H189" s="399">
        <v>0</v>
      </c>
      <c r="I189" s="399">
        <v>0</v>
      </c>
      <c r="J189" s="399">
        <v>0</v>
      </c>
      <c r="K189" s="399">
        <v>0</v>
      </c>
      <c r="L189" s="399">
        <v>0</v>
      </c>
      <c r="M189" s="399">
        <v>0</v>
      </c>
      <c r="N189" s="399">
        <v>0</v>
      </c>
      <c r="O189" s="399">
        <v>0</v>
      </c>
      <c r="P189" s="399">
        <v>0</v>
      </c>
      <c r="Q189" s="399">
        <v>0</v>
      </c>
      <c r="R189" s="399">
        <v>5.0000000000000001E-3</v>
      </c>
      <c r="S189" s="399">
        <v>0.01</v>
      </c>
      <c r="T189" s="399">
        <v>0.01</v>
      </c>
      <c r="U189" s="399">
        <v>0.01</v>
      </c>
      <c r="V189" s="402">
        <v>5</v>
      </c>
      <c r="W189" s="402" t="s">
        <v>812</v>
      </c>
      <c r="X189" s="725" t="s">
        <v>1566</v>
      </c>
      <c r="Y189" s="726"/>
      <c r="Z189" s="726"/>
      <c r="AA189" s="387">
        <f t="shared" si="15"/>
        <v>2015</v>
      </c>
    </row>
    <row r="190" spans="1:27" x14ac:dyDescent="0.2">
      <c r="A190" s="391">
        <f t="shared" si="18"/>
        <v>188</v>
      </c>
      <c r="B190" s="396">
        <v>502</v>
      </c>
      <c r="C190" s="394" t="s">
        <v>1371</v>
      </c>
      <c r="D190" s="392">
        <f t="shared" si="13"/>
        <v>0.01</v>
      </c>
      <c r="E190" s="392">
        <f t="shared" si="14"/>
        <v>0.01</v>
      </c>
      <c r="F190" s="510">
        <v>0</v>
      </c>
      <c r="G190" s="510">
        <v>0.01</v>
      </c>
      <c r="H190" s="510">
        <v>0.01</v>
      </c>
      <c r="I190" s="510">
        <v>0.01</v>
      </c>
      <c r="J190" s="510">
        <v>0.01</v>
      </c>
      <c r="K190" s="510">
        <v>0.01</v>
      </c>
      <c r="L190" s="399">
        <v>0.01</v>
      </c>
      <c r="M190" s="399">
        <v>0.01</v>
      </c>
      <c r="N190" s="399">
        <v>0.01</v>
      </c>
      <c r="O190" s="399">
        <v>0.01</v>
      </c>
      <c r="P190" s="399">
        <v>0.01</v>
      </c>
      <c r="Q190" s="399">
        <v>0.01</v>
      </c>
      <c r="R190" s="399">
        <v>0.01</v>
      </c>
      <c r="S190" s="399">
        <v>0.01</v>
      </c>
      <c r="T190" s="399">
        <v>0.01</v>
      </c>
      <c r="U190" s="399">
        <v>0.01</v>
      </c>
      <c r="V190" s="402">
        <v>5</v>
      </c>
      <c r="W190" s="512" t="s">
        <v>812</v>
      </c>
      <c r="X190" s="391"/>
      <c r="Y190" s="395"/>
      <c r="Z190" s="395"/>
      <c r="AA190" s="387">
        <f t="shared" si="15"/>
        <v>2004</v>
      </c>
    </row>
    <row r="191" spans="1:27" x14ac:dyDescent="0.2">
      <c r="A191" s="391">
        <f t="shared" si="18"/>
        <v>189</v>
      </c>
      <c r="B191" s="396">
        <v>509</v>
      </c>
      <c r="C191" s="397" t="s">
        <v>873</v>
      </c>
      <c r="D191" s="392">
        <f t="shared" si="13"/>
        <v>0.02</v>
      </c>
      <c r="E191" s="392">
        <f t="shared" si="14"/>
        <v>0.02</v>
      </c>
      <c r="F191" s="399">
        <v>0</v>
      </c>
      <c r="G191" s="399">
        <v>0.01</v>
      </c>
      <c r="H191" s="399">
        <v>0.01</v>
      </c>
      <c r="I191" s="399">
        <v>0.01</v>
      </c>
      <c r="J191" s="399">
        <v>0.01</v>
      </c>
      <c r="K191" s="399">
        <v>0.01</v>
      </c>
      <c r="L191" s="399">
        <v>0.01</v>
      </c>
      <c r="M191" s="399">
        <v>0.01</v>
      </c>
      <c r="N191" s="399">
        <v>0.01</v>
      </c>
      <c r="O191" s="399">
        <v>0.01</v>
      </c>
      <c r="P191" s="399">
        <v>0.01</v>
      </c>
      <c r="Q191" s="399">
        <v>0.02</v>
      </c>
      <c r="R191" s="399">
        <v>0.02</v>
      </c>
      <c r="S191" s="399">
        <v>0.02</v>
      </c>
      <c r="T191" s="399">
        <v>0.02</v>
      </c>
      <c r="U191" s="399">
        <v>0.02</v>
      </c>
      <c r="V191" s="402">
        <v>5</v>
      </c>
      <c r="W191" s="391" t="s">
        <v>812</v>
      </c>
      <c r="X191" s="391"/>
      <c r="Y191" s="395"/>
      <c r="Z191" s="395"/>
      <c r="AA191" s="387">
        <f t="shared" si="15"/>
        <v>2004</v>
      </c>
    </row>
    <row r="192" spans="1:27" x14ac:dyDescent="0.2">
      <c r="A192" s="391">
        <f t="shared" ref="A192:A260" si="19">+A191+1</f>
        <v>190</v>
      </c>
      <c r="B192" s="396">
        <v>508</v>
      </c>
      <c r="C192" s="394" t="s">
        <v>1184</v>
      </c>
      <c r="D192" s="392">
        <f t="shared" si="13"/>
        <v>0.02</v>
      </c>
      <c r="E192" s="392">
        <f t="shared" si="14"/>
        <v>0.02</v>
      </c>
      <c r="F192" s="399">
        <v>0.02</v>
      </c>
      <c r="G192" s="399">
        <v>0.02</v>
      </c>
      <c r="H192" s="399">
        <v>0.02</v>
      </c>
      <c r="I192" s="399">
        <v>0.02</v>
      </c>
      <c r="J192" s="399">
        <v>0.02</v>
      </c>
      <c r="K192" s="399">
        <v>0.02</v>
      </c>
      <c r="L192" s="399">
        <v>0.02</v>
      </c>
      <c r="M192" s="399">
        <v>0.02</v>
      </c>
      <c r="N192" s="399">
        <v>0.02</v>
      </c>
      <c r="O192" s="692">
        <v>1.975E-2</v>
      </c>
      <c r="P192" s="692">
        <v>1.975E-2</v>
      </c>
      <c r="Q192" s="692">
        <v>1.975E-2</v>
      </c>
      <c r="R192" s="692">
        <v>1.975E-2</v>
      </c>
      <c r="S192" s="692">
        <v>0.02</v>
      </c>
      <c r="T192" s="692">
        <v>0.02</v>
      </c>
      <c r="U192" s="692">
        <v>0.02</v>
      </c>
      <c r="V192" s="402">
        <v>0</v>
      </c>
      <c r="W192" s="391" t="s">
        <v>687</v>
      </c>
      <c r="X192" s="391"/>
      <c r="Y192" s="395"/>
      <c r="Z192" s="395"/>
      <c r="AA192" s="387">
        <f t="shared" si="15"/>
        <v>1980</v>
      </c>
    </row>
    <row r="193" spans="1:27" x14ac:dyDescent="0.2">
      <c r="A193" s="391">
        <f t="shared" si="19"/>
        <v>191</v>
      </c>
      <c r="B193" s="396">
        <v>515</v>
      </c>
      <c r="C193" s="394" t="s">
        <v>874</v>
      </c>
      <c r="D193" s="392">
        <f t="shared" si="13"/>
        <v>2.2499999999999999E-2</v>
      </c>
      <c r="E193" s="392">
        <f t="shared" si="14"/>
        <v>2.2499999999999999E-2</v>
      </c>
      <c r="F193" s="399">
        <v>0.02</v>
      </c>
      <c r="G193" s="399">
        <v>0.02</v>
      </c>
      <c r="H193" s="399">
        <v>0.02</v>
      </c>
      <c r="I193" s="399">
        <v>0.02</v>
      </c>
      <c r="J193" s="399">
        <v>0.02</v>
      </c>
      <c r="K193" s="399">
        <v>0.02</v>
      </c>
      <c r="L193" s="399">
        <v>2.2499999999999999E-2</v>
      </c>
      <c r="M193" s="399">
        <v>2.2499999999999999E-2</v>
      </c>
      <c r="N193" s="399">
        <v>2.2499999999999999E-2</v>
      </c>
      <c r="O193" s="399">
        <v>2.2499999999999999E-2</v>
      </c>
      <c r="P193" s="399">
        <v>2.2499999999999999E-2</v>
      </c>
      <c r="Q193" s="399">
        <v>2.2499999999999999E-2</v>
      </c>
      <c r="R193" s="399">
        <v>2.2499999999999999E-2</v>
      </c>
      <c r="S193" s="399">
        <v>2.2499999999999999E-2</v>
      </c>
      <c r="T193" s="399">
        <v>2.2499999999999999E-2</v>
      </c>
      <c r="U193" s="399">
        <v>2.2499999999999999E-2</v>
      </c>
      <c r="V193" s="402">
        <v>5</v>
      </c>
      <c r="W193" s="391" t="s">
        <v>812</v>
      </c>
      <c r="X193" s="391"/>
      <c r="Y193" s="395"/>
      <c r="Z193" s="395"/>
      <c r="AA193" s="387">
        <f t="shared" si="15"/>
        <v>1980</v>
      </c>
    </row>
    <row r="194" spans="1:27" x14ac:dyDescent="0.2">
      <c r="A194" s="391">
        <f t="shared" si="19"/>
        <v>192</v>
      </c>
      <c r="B194" s="396">
        <v>520</v>
      </c>
      <c r="C194" s="394" t="s">
        <v>195</v>
      </c>
      <c r="D194" s="392">
        <f t="shared" si="13"/>
        <v>0.01</v>
      </c>
      <c r="E194" s="392">
        <f t="shared" si="14"/>
        <v>0.01</v>
      </c>
      <c r="F194" s="399">
        <v>0.01</v>
      </c>
      <c r="G194" s="399">
        <v>0.01</v>
      </c>
      <c r="H194" s="399">
        <v>0.01</v>
      </c>
      <c r="I194" s="399">
        <v>0.01</v>
      </c>
      <c r="J194" s="399">
        <v>0.01</v>
      </c>
      <c r="K194" s="399">
        <v>0.01</v>
      </c>
      <c r="L194" s="399">
        <v>0.01</v>
      </c>
      <c r="M194" s="399">
        <v>0.01</v>
      </c>
      <c r="N194" s="399">
        <v>0.01</v>
      </c>
      <c r="O194" s="399">
        <v>0.01</v>
      </c>
      <c r="P194" s="399">
        <v>0.01</v>
      </c>
      <c r="Q194" s="399">
        <v>0.01</v>
      </c>
      <c r="R194" s="399">
        <v>0.01</v>
      </c>
      <c r="S194" s="399">
        <v>0.01</v>
      </c>
      <c r="T194" s="399">
        <v>0.01</v>
      </c>
      <c r="U194" s="399">
        <v>0.01</v>
      </c>
      <c r="V194" s="402">
        <v>5</v>
      </c>
      <c r="W194" s="391" t="s">
        <v>812</v>
      </c>
      <c r="X194" s="391"/>
      <c r="Y194" s="395"/>
      <c r="Z194" s="395"/>
      <c r="AA194" s="387">
        <f t="shared" si="15"/>
        <v>1980</v>
      </c>
    </row>
    <row r="195" spans="1:27" x14ac:dyDescent="0.2">
      <c r="A195" s="391">
        <f t="shared" si="19"/>
        <v>193</v>
      </c>
      <c r="B195" s="396">
        <v>617</v>
      </c>
      <c r="C195" s="397" t="s">
        <v>497</v>
      </c>
      <c r="D195" s="392">
        <f t="shared" si="13"/>
        <v>0.01</v>
      </c>
      <c r="E195" s="392">
        <f t="shared" si="14"/>
        <v>0.01</v>
      </c>
      <c r="F195" s="399">
        <v>0</v>
      </c>
      <c r="G195" s="399">
        <v>0</v>
      </c>
      <c r="H195" s="399">
        <v>0</v>
      </c>
      <c r="I195" s="399">
        <v>0</v>
      </c>
      <c r="J195" s="399">
        <v>0</v>
      </c>
      <c r="K195" s="399">
        <v>0</v>
      </c>
      <c r="L195" s="399">
        <v>0</v>
      </c>
      <c r="M195" s="399">
        <v>0</v>
      </c>
      <c r="N195" s="399">
        <v>0</v>
      </c>
      <c r="O195" s="399">
        <v>0.01</v>
      </c>
      <c r="P195" s="399">
        <v>0.01</v>
      </c>
      <c r="Q195" s="399">
        <v>0.01</v>
      </c>
      <c r="R195" s="399">
        <v>0.01</v>
      </c>
      <c r="S195" s="399">
        <v>0.01</v>
      </c>
      <c r="T195" s="399">
        <v>0.01</v>
      </c>
      <c r="U195" s="399">
        <v>0.01</v>
      </c>
      <c r="V195" s="402">
        <v>5</v>
      </c>
      <c r="W195" s="402" t="s">
        <v>812</v>
      </c>
      <c r="X195" s="619" t="s">
        <v>726</v>
      </c>
      <c r="Y195" s="395"/>
      <c r="Z195" s="395"/>
      <c r="AA195" s="387">
        <f t="shared" si="15"/>
        <v>2012</v>
      </c>
    </row>
    <row r="196" spans="1:27" x14ac:dyDescent="0.2">
      <c r="A196" s="391">
        <f t="shared" si="19"/>
        <v>194</v>
      </c>
      <c r="B196" s="396">
        <v>479</v>
      </c>
      <c r="C196" s="397" t="s">
        <v>957</v>
      </c>
      <c r="D196" s="392">
        <f t="shared" ref="D196:D259" si="20">HLOOKUP(D$1,F$2:U$405,(A196+1),FALSE)</f>
        <v>0</v>
      </c>
      <c r="E196" s="392">
        <f t="shared" ref="E196:E259" si="21">HLOOKUP(D$1+1,F$2:U$405,(A196+1),FALSE)</f>
        <v>0</v>
      </c>
      <c r="F196" s="399">
        <v>0</v>
      </c>
      <c r="G196" s="399">
        <v>0</v>
      </c>
      <c r="H196" s="399">
        <v>0</v>
      </c>
      <c r="I196" s="399">
        <v>0</v>
      </c>
      <c r="J196" s="399">
        <v>0</v>
      </c>
      <c r="K196" s="399">
        <v>0</v>
      </c>
      <c r="L196" s="399">
        <v>0</v>
      </c>
      <c r="M196" s="399">
        <v>0.01</v>
      </c>
      <c r="N196" s="399">
        <v>0.01</v>
      </c>
      <c r="O196" s="399">
        <v>0.01</v>
      </c>
      <c r="P196" s="399">
        <v>0.01</v>
      </c>
      <c r="Q196" s="399">
        <v>0</v>
      </c>
      <c r="R196" s="399">
        <v>0</v>
      </c>
      <c r="S196" s="399">
        <v>0</v>
      </c>
      <c r="T196" s="399">
        <v>0</v>
      </c>
      <c r="U196" s="399">
        <v>0</v>
      </c>
      <c r="V196" s="402">
        <v>0</v>
      </c>
      <c r="W196" s="391" t="s">
        <v>687</v>
      </c>
      <c r="X196" s="619"/>
      <c r="Y196" s="395"/>
      <c r="Z196" s="395"/>
      <c r="AA196" s="387">
        <f t="shared" si="15"/>
        <v>2010</v>
      </c>
    </row>
    <row r="197" spans="1:27" x14ac:dyDescent="0.2">
      <c r="A197" s="391">
        <f t="shared" si="19"/>
        <v>195</v>
      </c>
      <c r="B197" s="396">
        <v>527</v>
      </c>
      <c r="C197" s="397" t="s">
        <v>498</v>
      </c>
      <c r="D197" s="392">
        <f t="shared" si="20"/>
        <v>0.02</v>
      </c>
      <c r="E197" s="392">
        <f t="shared" si="21"/>
        <v>0.02</v>
      </c>
      <c r="F197" s="399">
        <v>1.4999999999999999E-2</v>
      </c>
      <c r="G197" s="399">
        <v>1.4999999999999999E-2</v>
      </c>
      <c r="H197" s="399">
        <v>1.4999999999999999E-2</v>
      </c>
      <c r="I197" s="399">
        <v>1.4999999999999999E-2</v>
      </c>
      <c r="J197" s="399">
        <v>1.4999999999999999E-2</v>
      </c>
      <c r="K197" s="399">
        <v>1.4999999999999999E-2</v>
      </c>
      <c r="L197" s="399">
        <v>1.4999999999999999E-2</v>
      </c>
      <c r="M197" s="399">
        <v>1.4999999999999999E-2</v>
      </c>
      <c r="N197" s="399">
        <v>1.4999999999999999E-2</v>
      </c>
      <c r="O197" s="399">
        <v>1.4999999999999999E-2</v>
      </c>
      <c r="P197" s="399">
        <v>1.4999999999999999E-2</v>
      </c>
      <c r="Q197" s="399">
        <v>0.02</v>
      </c>
      <c r="R197" s="399">
        <v>0.02</v>
      </c>
      <c r="S197" s="399">
        <v>0.02</v>
      </c>
      <c r="T197" s="399">
        <v>0.02</v>
      </c>
      <c r="U197" s="399">
        <v>0.02</v>
      </c>
      <c r="V197" s="402">
        <v>3</v>
      </c>
      <c r="W197" s="402" t="s">
        <v>812</v>
      </c>
      <c r="X197" s="391"/>
      <c r="Y197" s="395"/>
      <c r="Z197" s="395"/>
      <c r="AA197" s="387">
        <f t="shared" si="15"/>
        <v>1980</v>
      </c>
    </row>
    <row r="198" spans="1:27" x14ac:dyDescent="0.2">
      <c r="A198" s="391">
        <f t="shared" si="19"/>
        <v>196</v>
      </c>
      <c r="B198" s="396">
        <v>528</v>
      </c>
      <c r="C198" s="394" t="s">
        <v>196</v>
      </c>
      <c r="D198" s="392">
        <f t="shared" si="20"/>
        <v>0.01</v>
      </c>
      <c r="E198" s="392">
        <f t="shared" si="21"/>
        <v>0.01</v>
      </c>
      <c r="F198" s="399">
        <v>0.01</v>
      </c>
      <c r="G198" s="399">
        <v>0.01</v>
      </c>
      <c r="H198" s="399">
        <v>0.01</v>
      </c>
      <c r="I198" s="399">
        <v>0.01</v>
      </c>
      <c r="J198" s="399">
        <v>0.01</v>
      </c>
      <c r="K198" s="399">
        <v>0.01</v>
      </c>
      <c r="L198" s="399">
        <v>0.01</v>
      </c>
      <c r="M198" s="399">
        <v>0.01</v>
      </c>
      <c r="N198" s="399">
        <v>0.01</v>
      </c>
      <c r="O198" s="399">
        <v>0.01</v>
      </c>
      <c r="P198" s="399">
        <v>0.01</v>
      </c>
      <c r="Q198" s="399">
        <v>0.01</v>
      </c>
      <c r="R198" s="399">
        <v>0.01</v>
      </c>
      <c r="S198" s="399">
        <v>0.01</v>
      </c>
      <c r="T198" s="399">
        <v>0.01</v>
      </c>
      <c r="U198" s="399">
        <v>0.01</v>
      </c>
      <c r="V198" s="402">
        <v>5</v>
      </c>
      <c r="W198" s="391" t="s">
        <v>812</v>
      </c>
      <c r="X198" s="391"/>
      <c r="Y198" s="395"/>
      <c r="Z198" s="395"/>
      <c r="AA198" s="387">
        <f t="shared" si="15"/>
        <v>1980</v>
      </c>
    </row>
    <row r="199" spans="1:27" x14ac:dyDescent="0.2">
      <c r="A199" s="391">
        <f t="shared" si="19"/>
        <v>197</v>
      </c>
      <c r="B199" s="396">
        <v>331</v>
      </c>
      <c r="C199" s="397" t="s">
        <v>499</v>
      </c>
      <c r="D199" s="392">
        <f t="shared" si="20"/>
        <v>0.01</v>
      </c>
      <c r="E199" s="392">
        <f t="shared" si="21"/>
        <v>0.01</v>
      </c>
      <c r="F199" s="399">
        <v>0</v>
      </c>
      <c r="G199" s="399">
        <v>0</v>
      </c>
      <c r="H199" s="399">
        <v>0</v>
      </c>
      <c r="I199" s="399">
        <v>0</v>
      </c>
      <c r="J199" s="399">
        <v>0</v>
      </c>
      <c r="K199" s="399">
        <v>0</v>
      </c>
      <c r="L199" s="399">
        <v>0</v>
      </c>
      <c r="M199" s="399">
        <v>0</v>
      </c>
      <c r="N199" s="399">
        <v>0</v>
      </c>
      <c r="O199" s="399">
        <v>0.01</v>
      </c>
      <c r="P199" s="399">
        <v>0.01</v>
      </c>
      <c r="Q199" s="399">
        <v>0.01</v>
      </c>
      <c r="R199" s="399">
        <v>0.01</v>
      </c>
      <c r="S199" s="399">
        <v>0.01</v>
      </c>
      <c r="T199" s="399">
        <v>0.01</v>
      </c>
      <c r="U199" s="399">
        <v>0.01</v>
      </c>
      <c r="V199" s="402">
        <v>5</v>
      </c>
      <c r="W199" s="402" t="s">
        <v>812</v>
      </c>
      <c r="X199" s="619" t="s">
        <v>728</v>
      </c>
      <c r="Y199" s="395"/>
      <c r="Z199" s="395"/>
      <c r="AA199" s="387">
        <f t="shared" si="15"/>
        <v>2012</v>
      </c>
    </row>
    <row r="200" spans="1:27" x14ac:dyDescent="0.2">
      <c r="A200" s="391">
        <f t="shared" si="19"/>
        <v>198</v>
      </c>
      <c r="B200" s="396">
        <v>535</v>
      </c>
      <c r="C200" s="394" t="s">
        <v>197</v>
      </c>
      <c r="D200" s="392">
        <f t="shared" si="20"/>
        <v>0.02</v>
      </c>
      <c r="E200" s="392">
        <f t="shared" si="21"/>
        <v>0.02</v>
      </c>
      <c r="F200" s="399">
        <v>0.02</v>
      </c>
      <c r="G200" s="399">
        <v>0.02</v>
      </c>
      <c r="H200" s="399">
        <v>0.02</v>
      </c>
      <c r="I200" s="399">
        <v>0.02</v>
      </c>
      <c r="J200" s="399">
        <v>0.02</v>
      </c>
      <c r="K200" s="399">
        <v>0.02</v>
      </c>
      <c r="L200" s="399">
        <v>0.02</v>
      </c>
      <c r="M200" s="399">
        <v>0.02</v>
      </c>
      <c r="N200" s="399">
        <v>0.02</v>
      </c>
      <c r="O200" s="399">
        <v>0.02</v>
      </c>
      <c r="P200" s="399">
        <v>0.02</v>
      </c>
      <c r="Q200" s="399">
        <v>0.02</v>
      </c>
      <c r="R200" s="399">
        <v>0.02</v>
      </c>
      <c r="S200" s="399">
        <v>0.02</v>
      </c>
      <c r="T200" s="399">
        <v>0.02</v>
      </c>
      <c r="U200" s="399">
        <v>0.02</v>
      </c>
      <c r="V200" s="402">
        <v>0</v>
      </c>
      <c r="W200" s="391" t="s">
        <v>687</v>
      </c>
      <c r="X200" s="391"/>
      <c r="Y200" s="395"/>
      <c r="Z200" s="395"/>
      <c r="AA200" s="387">
        <f t="shared" si="15"/>
        <v>1980</v>
      </c>
    </row>
    <row r="201" spans="1:27" x14ac:dyDescent="0.2">
      <c r="A201" s="391">
        <f t="shared" si="19"/>
        <v>199</v>
      </c>
      <c r="B201" s="396">
        <v>568</v>
      </c>
      <c r="C201" s="394" t="s">
        <v>959</v>
      </c>
      <c r="D201" s="392">
        <f t="shared" si="20"/>
        <v>0.01</v>
      </c>
      <c r="E201" s="392">
        <f t="shared" si="21"/>
        <v>0.01</v>
      </c>
      <c r="F201" s="399">
        <v>0</v>
      </c>
      <c r="G201" s="399">
        <v>0</v>
      </c>
      <c r="H201" s="399">
        <v>0</v>
      </c>
      <c r="I201" s="399">
        <v>0</v>
      </c>
      <c r="J201" s="399">
        <v>0</v>
      </c>
      <c r="K201" s="399">
        <v>0</v>
      </c>
      <c r="L201" s="399">
        <v>0</v>
      </c>
      <c r="M201" s="399">
        <v>0.01</v>
      </c>
      <c r="N201" s="399">
        <v>0.01</v>
      </c>
      <c r="O201" s="399">
        <v>0.01</v>
      </c>
      <c r="P201" s="399">
        <v>0.01</v>
      </c>
      <c r="Q201" s="399">
        <v>0.01</v>
      </c>
      <c r="R201" s="399">
        <v>0.01</v>
      </c>
      <c r="S201" s="399">
        <v>0.01</v>
      </c>
      <c r="T201" s="399">
        <v>0.01</v>
      </c>
      <c r="U201" s="399">
        <v>0.01</v>
      </c>
      <c r="V201" s="402">
        <v>5</v>
      </c>
      <c r="W201" s="391" t="s">
        <v>812</v>
      </c>
      <c r="X201" s="391"/>
      <c r="Y201" s="395"/>
      <c r="Z201" s="395"/>
      <c r="AA201" s="387">
        <f t="shared" si="15"/>
        <v>2010</v>
      </c>
    </row>
    <row r="202" spans="1:27" x14ac:dyDescent="0.2">
      <c r="A202" s="391">
        <f t="shared" si="19"/>
        <v>200</v>
      </c>
      <c r="B202" s="396">
        <v>504</v>
      </c>
      <c r="C202" s="394" t="s">
        <v>198</v>
      </c>
      <c r="D202" s="392">
        <f t="shared" si="20"/>
        <v>0.01</v>
      </c>
      <c r="E202" s="392">
        <f t="shared" si="21"/>
        <v>0.01</v>
      </c>
      <c r="F202" s="399">
        <v>0.01</v>
      </c>
      <c r="G202" s="399">
        <v>0.01</v>
      </c>
      <c r="H202" s="399">
        <v>0.01</v>
      </c>
      <c r="I202" s="399">
        <v>0.01</v>
      </c>
      <c r="J202" s="399">
        <v>0.01</v>
      </c>
      <c r="K202" s="399">
        <v>0.01</v>
      </c>
      <c r="L202" s="399">
        <v>0.01</v>
      </c>
      <c r="M202" s="399">
        <v>0.01</v>
      </c>
      <c r="N202" s="399">
        <v>0.01</v>
      </c>
      <c r="O202" s="399">
        <v>0.01</v>
      </c>
      <c r="P202" s="399">
        <v>0.01</v>
      </c>
      <c r="Q202" s="399">
        <v>0.01</v>
      </c>
      <c r="R202" s="399">
        <v>0.01</v>
      </c>
      <c r="S202" s="399">
        <v>0.01</v>
      </c>
      <c r="T202" s="399">
        <v>0.01</v>
      </c>
      <c r="U202" s="399">
        <v>0.01</v>
      </c>
      <c r="V202" s="402">
        <v>5</v>
      </c>
      <c r="W202" s="391" t="s">
        <v>812</v>
      </c>
      <c r="X202" s="391"/>
      <c r="Y202" s="395"/>
      <c r="Z202" s="395"/>
      <c r="AA202" s="387">
        <f t="shared" si="15"/>
        <v>1980</v>
      </c>
    </row>
    <row r="203" spans="1:27" x14ac:dyDescent="0.2">
      <c r="A203" s="391">
        <f t="shared" si="19"/>
        <v>201</v>
      </c>
      <c r="B203" s="396">
        <v>554</v>
      </c>
      <c r="C203" s="397" t="s">
        <v>487</v>
      </c>
      <c r="D203" s="392">
        <f t="shared" si="20"/>
        <v>0.02</v>
      </c>
      <c r="E203" s="392">
        <f t="shared" si="21"/>
        <v>0.02</v>
      </c>
      <c r="F203" s="399">
        <v>0</v>
      </c>
      <c r="G203" s="399">
        <v>0.01</v>
      </c>
      <c r="H203" s="399">
        <v>0.01</v>
      </c>
      <c r="I203" s="399">
        <v>0.01</v>
      </c>
      <c r="J203" s="399">
        <v>0.01</v>
      </c>
      <c r="K203" s="399">
        <v>0.01</v>
      </c>
      <c r="L203" s="399">
        <v>0.01</v>
      </c>
      <c r="M203" s="399">
        <v>0.01</v>
      </c>
      <c r="N203" s="399">
        <v>0.01</v>
      </c>
      <c r="O203" s="399">
        <v>0.01</v>
      </c>
      <c r="P203" s="399">
        <v>0.01</v>
      </c>
      <c r="Q203" s="399">
        <v>0.01</v>
      </c>
      <c r="R203" s="399">
        <v>0.01</v>
      </c>
      <c r="S203" s="399">
        <v>0.02</v>
      </c>
      <c r="T203" s="399">
        <v>0.02</v>
      </c>
      <c r="U203" s="399">
        <v>0.02</v>
      </c>
      <c r="V203" s="402">
        <v>0</v>
      </c>
      <c r="W203" s="391" t="s">
        <v>687</v>
      </c>
      <c r="X203" s="391"/>
      <c r="Y203" s="395"/>
      <c r="Z203" s="395"/>
      <c r="AA203" s="387">
        <f t="shared" ref="AA203:AA266" si="22">_xlfn.IFNA(MATCH(0,F203:U203,1),-23) + F$2 -1</f>
        <v>2004</v>
      </c>
    </row>
    <row r="204" spans="1:27" x14ac:dyDescent="0.2">
      <c r="A204" s="391">
        <f t="shared" si="19"/>
        <v>202</v>
      </c>
      <c r="B204" s="396">
        <v>524</v>
      </c>
      <c r="C204" s="397" t="s">
        <v>595</v>
      </c>
      <c r="D204" s="392">
        <f t="shared" si="20"/>
        <v>0.01</v>
      </c>
      <c r="E204" s="392">
        <f t="shared" si="21"/>
        <v>0.01</v>
      </c>
      <c r="F204" s="399">
        <v>0</v>
      </c>
      <c r="G204" s="399">
        <v>0</v>
      </c>
      <c r="H204" s="399">
        <v>0</v>
      </c>
      <c r="I204" s="399">
        <v>0</v>
      </c>
      <c r="J204" s="399">
        <v>0</v>
      </c>
      <c r="K204" s="399">
        <v>0</v>
      </c>
      <c r="L204" s="399">
        <v>0.01</v>
      </c>
      <c r="M204" s="399">
        <v>0.01</v>
      </c>
      <c r="N204" s="399">
        <v>0.01</v>
      </c>
      <c r="O204" s="399">
        <v>0.01</v>
      </c>
      <c r="P204" s="399">
        <v>0.01</v>
      </c>
      <c r="Q204" s="399">
        <v>0.01</v>
      </c>
      <c r="R204" s="399">
        <v>0.01</v>
      </c>
      <c r="S204" s="399">
        <v>0.01</v>
      </c>
      <c r="T204" s="399">
        <v>0.01</v>
      </c>
      <c r="U204" s="399">
        <v>0.01</v>
      </c>
      <c r="V204" s="402">
        <v>5</v>
      </c>
      <c r="W204" s="391" t="s">
        <v>812</v>
      </c>
      <c r="X204" s="391"/>
      <c r="Y204" s="395"/>
      <c r="Z204" s="395"/>
      <c r="AA204" s="387">
        <f t="shared" si="22"/>
        <v>2009</v>
      </c>
    </row>
    <row r="205" spans="1:27" x14ac:dyDescent="0.2">
      <c r="A205" s="391">
        <f t="shared" si="19"/>
        <v>203</v>
      </c>
      <c r="B205" s="401">
        <v>602</v>
      </c>
      <c r="C205" s="397" t="s">
        <v>500</v>
      </c>
      <c r="D205" s="392">
        <f t="shared" si="20"/>
        <v>0.01</v>
      </c>
      <c r="E205" s="392">
        <f t="shared" si="21"/>
        <v>0.01</v>
      </c>
      <c r="F205" s="399">
        <v>0</v>
      </c>
      <c r="G205" s="399">
        <v>0.01</v>
      </c>
      <c r="H205" s="399">
        <v>0.01</v>
      </c>
      <c r="I205" s="399">
        <v>0.01</v>
      </c>
      <c r="J205" s="399">
        <v>0.01</v>
      </c>
      <c r="K205" s="399">
        <v>0.01</v>
      </c>
      <c r="L205" s="399">
        <v>0.01</v>
      </c>
      <c r="M205" s="399">
        <v>0.01</v>
      </c>
      <c r="N205" s="399">
        <v>0.01</v>
      </c>
      <c r="O205" s="399">
        <v>0.01</v>
      </c>
      <c r="P205" s="399">
        <v>0.01</v>
      </c>
      <c r="Q205" s="399">
        <v>0.01</v>
      </c>
      <c r="R205" s="399">
        <v>0.01</v>
      </c>
      <c r="S205" s="399">
        <v>0.01</v>
      </c>
      <c r="T205" s="399">
        <v>0.01</v>
      </c>
      <c r="U205" s="399">
        <v>0.01</v>
      </c>
      <c r="V205" s="402">
        <v>5</v>
      </c>
      <c r="W205" s="402" t="s">
        <v>812</v>
      </c>
      <c r="X205" s="391"/>
      <c r="Y205" s="395"/>
      <c r="Z205" s="395"/>
      <c r="AA205" s="387">
        <f t="shared" si="22"/>
        <v>2004</v>
      </c>
    </row>
    <row r="206" spans="1:27" x14ac:dyDescent="0.2">
      <c r="A206" s="402">
        <f t="shared" si="19"/>
        <v>204</v>
      </c>
      <c r="B206" s="401">
        <v>556</v>
      </c>
      <c r="C206" s="739" t="s">
        <v>1615</v>
      </c>
      <c r="D206" s="392">
        <f t="shared" si="20"/>
        <v>1.4999999999999999E-2</v>
      </c>
      <c r="E206" s="392">
        <f t="shared" si="21"/>
        <v>1.4999999999999999E-2</v>
      </c>
      <c r="F206" s="399">
        <v>1.4999999999999999E-2</v>
      </c>
      <c r="G206" s="399">
        <v>1.4999999999999999E-2</v>
      </c>
      <c r="H206" s="399">
        <v>1.4999999999999999E-2</v>
      </c>
      <c r="I206" s="399">
        <v>1.4999999999999999E-2</v>
      </c>
      <c r="J206" s="399">
        <v>1.4999999999999999E-2</v>
      </c>
      <c r="K206" s="399">
        <v>1.4999999999999999E-2</v>
      </c>
      <c r="L206" s="399">
        <v>1.4999999999999999E-2</v>
      </c>
      <c r="M206" s="399">
        <v>1.4999999999999999E-2</v>
      </c>
      <c r="N206" s="399">
        <v>1.4999999999999999E-2</v>
      </c>
      <c r="O206" s="399">
        <v>1.4999999999999999E-2</v>
      </c>
      <c r="P206" s="399">
        <v>1.4999999999999999E-2</v>
      </c>
      <c r="Q206" s="399">
        <v>1.4999999999999999E-2</v>
      </c>
      <c r="R206" s="399">
        <v>1.4999999999999999E-2</v>
      </c>
      <c r="S206" s="399">
        <v>1.4999999999999999E-2</v>
      </c>
      <c r="T206" s="399">
        <v>1.4999999999999999E-2</v>
      </c>
      <c r="U206" s="399">
        <v>1.4999999999999999E-2</v>
      </c>
      <c r="V206" s="402">
        <v>0</v>
      </c>
      <c r="W206" s="391" t="s">
        <v>687</v>
      </c>
      <c r="X206" s="391"/>
      <c r="Y206" s="395"/>
      <c r="Z206" s="395"/>
      <c r="AA206" s="387">
        <f t="shared" si="22"/>
        <v>1980</v>
      </c>
    </row>
    <row r="207" spans="1:27" x14ac:dyDescent="0.2">
      <c r="A207" s="391">
        <f t="shared" si="19"/>
        <v>205</v>
      </c>
      <c r="B207" s="401">
        <v>525</v>
      </c>
      <c r="C207" s="397" t="s">
        <v>199</v>
      </c>
      <c r="D207" s="392">
        <f t="shared" si="20"/>
        <v>0.01</v>
      </c>
      <c r="E207" s="392">
        <f t="shared" si="21"/>
        <v>0.01</v>
      </c>
      <c r="F207" s="399">
        <v>0.01</v>
      </c>
      <c r="G207" s="399">
        <v>0.01</v>
      </c>
      <c r="H207" s="399">
        <v>0.01</v>
      </c>
      <c r="I207" s="399">
        <v>0.01</v>
      </c>
      <c r="J207" s="399">
        <v>0.01</v>
      </c>
      <c r="K207" s="399">
        <v>0.01</v>
      </c>
      <c r="L207" s="399">
        <v>0.01</v>
      </c>
      <c r="M207" s="399">
        <v>0.01</v>
      </c>
      <c r="N207" s="399">
        <v>0.01</v>
      </c>
      <c r="O207" s="399">
        <v>0.01</v>
      </c>
      <c r="P207" s="399">
        <v>0.01</v>
      </c>
      <c r="Q207" s="399">
        <v>0.01</v>
      </c>
      <c r="R207" s="399">
        <v>0.01</v>
      </c>
      <c r="S207" s="399">
        <v>0.01</v>
      </c>
      <c r="T207" s="399">
        <v>0.01</v>
      </c>
      <c r="U207" s="399">
        <v>0.01</v>
      </c>
      <c r="V207" s="402">
        <v>0</v>
      </c>
      <c r="W207" s="391" t="s">
        <v>687</v>
      </c>
      <c r="X207" s="391"/>
      <c r="Y207" s="395"/>
      <c r="Z207" s="395"/>
      <c r="AA207" s="387">
        <f t="shared" si="22"/>
        <v>1980</v>
      </c>
    </row>
    <row r="208" spans="1:27" x14ac:dyDescent="0.2">
      <c r="A208" s="391">
        <f t="shared" si="19"/>
        <v>206</v>
      </c>
      <c r="B208" s="396">
        <v>540</v>
      </c>
      <c r="C208" s="394" t="s">
        <v>200</v>
      </c>
      <c r="D208" s="392">
        <f t="shared" si="20"/>
        <v>0.02</v>
      </c>
      <c r="E208" s="392">
        <f t="shared" si="21"/>
        <v>0.02</v>
      </c>
      <c r="F208" s="399">
        <v>0.02</v>
      </c>
      <c r="G208" s="399">
        <v>0.02</v>
      </c>
      <c r="H208" s="399">
        <v>0.02</v>
      </c>
      <c r="I208" s="399">
        <v>0.02</v>
      </c>
      <c r="J208" s="399">
        <v>0.02</v>
      </c>
      <c r="K208" s="399">
        <v>0.02</v>
      </c>
      <c r="L208" s="399">
        <v>0.02</v>
      </c>
      <c r="M208" s="399">
        <v>0.02</v>
      </c>
      <c r="N208" s="399">
        <v>0.02</v>
      </c>
      <c r="O208" s="399">
        <v>0.02</v>
      </c>
      <c r="P208" s="399">
        <v>0.02</v>
      </c>
      <c r="Q208" s="399">
        <v>0.02</v>
      </c>
      <c r="R208" s="399">
        <v>0.02</v>
      </c>
      <c r="S208" s="399">
        <v>0.02</v>
      </c>
      <c r="T208" s="399">
        <v>0.02</v>
      </c>
      <c r="U208" s="399">
        <v>0.02</v>
      </c>
      <c r="V208" s="402">
        <v>5</v>
      </c>
      <c r="W208" s="391" t="s">
        <v>812</v>
      </c>
      <c r="X208" s="391"/>
      <c r="Y208" s="395"/>
      <c r="Z208" s="395"/>
      <c r="AA208" s="387">
        <f t="shared" si="22"/>
        <v>1980</v>
      </c>
    </row>
    <row r="209" spans="1:27" x14ac:dyDescent="0.2">
      <c r="A209" s="391">
        <f t="shared" si="19"/>
        <v>207</v>
      </c>
      <c r="B209" s="396">
        <v>562</v>
      </c>
      <c r="C209" s="394" t="s">
        <v>958</v>
      </c>
      <c r="D209" s="392">
        <f t="shared" si="20"/>
        <v>0.02</v>
      </c>
      <c r="E209" s="392">
        <f t="shared" si="21"/>
        <v>0.02</v>
      </c>
      <c r="F209" s="399">
        <v>0.02</v>
      </c>
      <c r="G209" s="399">
        <v>0.02</v>
      </c>
      <c r="H209" s="399">
        <v>0.02</v>
      </c>
      <c r="I209" s="399">
        <v>0.02</v>
      </c>
      <c r="J209" s="399">
        <v>0.02</v>
      </c>
      <c r="K209" s="399">
        <v>0.02</v>
      </c>
      <c r="L209" s="399">
        <v>0.02</v>
      </c>
      <c r="M209" s="399">
        <v>0.02</v>
      </c>
      <c r="N209" s="399">
        <v>0.02</v>
      </c>
      <c r="O209" s="399">
        <v>0.02</v>
      </c>
      <c r="P209" s="399">
        <v>0.02</v>
      </c>
      <c r="Q209" s="399">
        <v>0.02</v>
      </c>
      <c r="R209" s="399">
        <v>0.02</v>
      </c>
      <c r="S209" s="399">
        <v>0.02</v>
      </c>
      <c r="T209" s="399">
        <v>0.02</v>
      </c>
      <c r="U209" s="399">
        <v>0.02</v>
      </c>
      <c r="V209" s="402">
        <v>5</v>
      </c>
      <c r="W209" s="391" t="s">
        <v>812</v>
      </c>
      <c r="X209" s="391"/>
      <c r="Y209" s="395"/>
      <c r="Z209" s="395"/>
      <c r="AA209" s="387">
        <f t="shared" si="22"/>
        <v>1980</v>
      </c>
    </row>
    <row r="210" spans="1:27" s="3" customFormat="1" x14ac:dyDescent="0.2">
      <c r="A210" s="402">
        <f t="shared" si="19"/>
        <v>208</v>
      </c>
      <c r="B210" s="401">
        <v>547</v>
      </c>
      <c r="C210" s="739" t="s">
        <v>1616</v>
      </c>
      <c r="D210" s="399">
        <f t="shared" si="20"/>
        <v>0.01</v>
      </c>
      <c r="E210" s="399">
        <f t="shared" si="21"/>
        <v>0.01</v>
      </c>
      <c r="F210" s="399">
        <v>0.01</v>
      </c>
      <c r="G210" s="399">
        <v>0.01</v>
      </c>
      <c r="H210" s="399">
        <v>0.01</v>
      </c>
      <c r="I210" s="399">
        <v>0.01</v>
      </c>
      <c r="J210" s="399">
        <v>0.01</v>
      </c>
      <c r="K210" s="399">
        <v>0.01</v>
      </c>
      <c r="L210" s="399">
        <v>0.01</v>
      </c>
      <c r="M210" s="399">
        <v>0.01</v>
      </c>
      <c r="N210" s="399">
        <v>0.01</v>
      </c>
      <c r="O210" s="399">
        <v>0.01</v>
      </c>
      <c r="P210" s="399">
        <v>0.01</v>
      </c>
      <c r="Q210" s="399">
        <v>0.01</v>
      </c>
      <c r="R210" s="399">
        <v>0.01</v>
      </c>
      <c r="S210" s="399">
        <v>0.01</v>
      </c>
      <c r="T210" s="399">
        <v>0.01</v>
      </c>
      <c r="U210" s="399">
        <v>0.01</v>
      </c>
      <c r="V210" s="402">
        <v>0</v>
      </c>
      <c r="W210" s="402" t="s">
        <v>687</v>
      </c>
      <c r="X210" s="402"/>
      <c r="Y210" s="726"/>
      <c r="Z210" s="726"/>
      <c r="AA210" s="387">
        <f t="shared" si="22"/>
        <v>1980</v>
      </c>
    </row>
    <row r="211" spans="1:27" s="3" customFormat="1" x14ac:dyDescent="0.2">
      <c r="A211" s="391">
        <f t="shared" si="19"/>
        <v>209</v>
      </c>
      <c r="B211" s="401">
        <v>717</v>
      </c>
      <c r="C211" s="739" t="s">
        <v>1598</v>
      </c>
      <c r="D211" s="399">
        <f t="shared" si="20"/>
        <v>0.01</v>
      </c>
      <c r="E211" s="399">
        <f t="shared" si="21"/>
        <v>0.01</v>
      </c>
      <c r="F211" s="399">
        <v>0</v>
      </c>
      <c r="G211" s="399">
        <v>0</v>
      </c>
      <c r="H211" s="399">
        <v>0</v>
      </c>
      <c r="I211" s="399">
        <v>0</v>
      </c>
      <c r="J211" s="399">
        <v>0</v>
      </c>
      <c r="K211" s="399">
        <v>0</v>
      </c>
      <c r="L211" s="399">
        <v>0</v>
      </c>
      <c r="M211" s="399">
        <v>0</v>
      </c>
      <c r="N211" s="399">
        <v>0</v>
      </c>
      <c r="O211" s="399">
        <v>0</v>
      </c>
      <c r="P211" s="399">
        <v>0</v>
      </c>
      <c r="Q211" s="399">
        <v>0</v>
      </c>
      <c r="R211" s="399">
        <v>0</v>
      </c>
      <c r="S211" s="399">
        <v>0.01</v>
      </c>
      <c r="T211" s="399">
        <v>0.01</v>
      </c>
      <c r="U211" s="399">
        <v>0.01</v>
      </c>
      <c r="V211" s="402">
        <v>5</v>
      </c>
      <c r="W211" s="402" t="s">
        <v>812</v>
      </c>
      <c r="X211" s="402"/>
      <c r="Y211" s="726"/>
      <c r="Z211" s="726"/>
      <c r="AA211" s="387">
        <f t="shared" si="22"/>
        <v>2016</v>
      </c>
    </row>
    <row r="212" spans="1:27" x14ac:dyDescent="0.2">
      <c r="A212" s="391">
        <f t="shared" si="19"/>
        <v>210</v>
      </c>
      <c r="B212" s="396">
        <v>561</v>
      </c>
      <c r="C212" s="394" t="s">
        <v>201</v>
      </c>
      <c r="D212" s="392">
        <f t="shared" si="20"/>
        <v>0.01</v>
      </c>
      <c r="E212" s="392">
        <f t="shared" si="21"/>
        <v>0.01</v>
      </c>
      <c r="F212" s="399">
        <v>0.01</v>
      </c>
      <c r="G212" s="399">
        <v>0.01</v>
      </c>
      <c r="H212" s="399">
        <v>0.01</v>
      </c>
      <c r="I212" s="399">
        <v>0.01</v>
      </c>
      <c r="J212" s="399">
        <v>0.01</v>
      </c>
      <c r="K212" s="399">
        <v>0.01</v>
      </c>
      <c r="L212" s="399">
        <v>0.01</v>
      </c>
      <c r="M212" s="399">
        <v>0.01</v>
      </c>
      <c r="N212" s="399">
        <v>0.01</v>
      </c>
      <c r="O212" s="399">
        <v>0.01</v>
      </c>
      <c r="P212" s="399">
        <v>0.01</v>
      </c>
      <c r="Q212" s="399">
        <v>0.01</v>
      </c>
      <c r="R212" s="399">
        <v>0.01</v>
      </c>
      <c r="S212" s="399">
        <v>0.01</v>
      </c>
      <c r="T212" s="399">
        <v>0.01</v>
      </c>
      <c r="U212" s="399">
        <v>0.01</v>
      </c>
      <c r="V212" s="402">
        <v>5</v>
      </c>
      <c r="W212" s="391" t="s">
        <v>812</v>
      </c>
      <c r="X212" s="391"/>
      <c r="Y212" s="395"/>
      <c r="Z212" s="395"/>
      <c r="AA212" s="387">
        <f t="shared" si="22"/>
        <v>1980</v>
      </c>
    </row>
    <row r="213" spans="1:27" s="3" customFormat="1" x14ac:dyDescent="0.2">
      <c r="A213" s="391">
        <f t="shared" si="19"/>
        <v>211</v>
      </c>
      <c r="B213" s="401">
        <v>677</v>
      </c>
      <c r="C213" s="397" t="s">
        <v>1509</v>
      </c>
      <c r="D213" s="399">
        <f t="shared" si="20"/>
        <v>0.01</v>
      </c>
      <c r="E213" s="392">
        <f t="shared" si="21"/>
        <v>0.01</v>
      </c>
      <c r="F213" s="399">
        <v>0</v>
      </c>
      <c r="G213" s="399">
        <v>0</v>
      </c>
      <c r="H213" s="399">
        <v>0</v>
      </c>
      <c r="I213" s="399">
        <v>0</v>
      </c>
      <c r="J213" s="399">
        <v>0</v>
      </c>
      <c r="K213" s="399">
        <v>0</v>
      </c>
      <c r="L213" s="399">
        <v>0</v>
      </c>
      <c r="M213" s="399">
        <v>0</v>
      </c>
      <c r="N213" s="399">
        <v>0</v>
      </c>
      <c r="O213" s="399">
        <v>0</v>
      </c>
      <c r="P213" s="399">
        <v>0</v>
      </c>
      <c r="Q213" s="399">
        <v>0</v>
      </c>
      <c r="R213" s="399">
        <v>0.01</v>
      </c>
      <c r="S213" s="399">
        <v>0.01</v>
      </c>
      <c r="T213" s="399">
        <v>0.01</v>
      </c>
      <c r="U213" s="399">
        <v>0.01</v>
      </c>
      <c r="V213" s="402">
        <v>5</v>
      </c>
      <c r="W213" s="402" t="s">
        <v>812</v>
      </c>
      <c r="X213" s="402"/>
      <c r="Y213" s="726"/>
      <c r="Z213" s="726"/>
      <c r="AA213" s="387">
        <f t="shared" si="22"/>
        <v>2015</v>
      </c>
    </row>
    <row r="214" spans="1:27" s="3" customFormat="1" x14ac:dyDescent="0.2">
      <c r="A214" s="402">
        <f t="shared" si="19"/>
        <v>212</v>
      </c>
      <c r="B214" s="401">
        <v>539</v>
      </c>
      <c r="C214" s="739" t="s">
        <v>1617</v>
      </c>
      <c r="D214" s="399">
        <f t="shared" si="20"/>
        <v>0.02</v>
      </c>
      <c r="E214" s="392">
        <f t="shared" si="21"/>
        <v>0.02</v>
      </c>
      <c r="F214" s="399">
        <v>1.4999999999999999E-2</v>
      </c>
      <c r="G214" s="399">
        <v>1.4999999999999999E-2</v>
      </c>
      <c r="H214" s="399">
        <v>1.4999999999999999E-2</v>
      </c>
      <c r="I214" s="399">
        <v>1.4999999999999999E-2</v>
      </c>
      <c r="J214" s="399">
        <v>1.4999999999999999E-2</v>
      </c>
      <c r="K214" s="399">
        <v>1.4999999999999999E-2</v>
      </c>
      <c r="L214" s="399">
        <v>1.4999999999999999E-2</v>
      </c>
      <c r="M214" s="399">
        <v>1.4999999999999999E-2</v>
      </c>
      <c r="N214" s="399">
        <v>1.4999999999999999E-2</v>
      </c>
      <c r="O214" s="399">
        <v>1.4999999999999999E-2</v>
      </c>
      <c r="P214" s="399">
        <v>1.4999999999999999E-2</v>
      </c>
      <c r="Q214" s="399">
        <v>1.4999999999999999E-2</v>
      </c>
      <c r="R214" s="399">
        <v>1.7500000000000002E-2</v>
      </c>
      <c r="S214" s="399">
        <v>0.02</v>
      </c>
      <c r="T214" s="399">
        <v>0.02</v>
      </c>
      <c r="U214" s="399">
        <v>0.02</v>
      </c>
      <c r="V214" s="402">
        <v>5</v>
      </c>
      <c r="W214" s="402" t="s">
        <v>812</v>
      </c>
      <c r="X214" s="725" t="s">
        <v>1566</v>
      </c>
      <c r="Y214" s="726"/>
      <c r="Z214" s="726"/>
      <c r="AA214" s="387">
        <f t="shared" si="22"/>
        <v>1980</v>
      </c>
    </row>
    <row r="215" spans="1:27" s="3" customFormat="1" x14ac:dyDescent="0.2">
      <c r="A215" s="402">
        <f t="shared" si="19"/>
        <v>213</v>
      </c>
      <c r="B215" s="401">
        <v>546</v>
      </c>
      <c r="C215" s="397" t="s">
        <v>1577</v>
      </c>
      <c r="D215" s="399">
        <f t="shared" si="20"/>
        <v>1.4999999999999999E-2</v>
      </c>
      <c r="E215" s="399">
        <f t="shared" si="21"/>
        <v>1.4999999999999999E-2</v>
      </c>
      <c r="F215" s="399">
        <v>1.4999999999999999E-2</v>
      </c>
      <c r="G215" s="399">
        <v>1.4999999999999999E-2</v>
      </c>
      <c r="H215" s="399">
        <v>1.4999999999999999E-2</v>
      </c>
      <c r="I215" s="399">
        <v>1.4999999999999999E-2</v>
      </c>
      <c r="J215" s="399">
        <v>1.4999999999999999E-2</v>
      </c>
      <c r="K215" s="399">
        <v>1.4999999999999999E-2</v>
      </c>
      <c r="L215" s="399">
        <v>1.4999999999999999E-2</v>
      </c>
      <c r="M215" s="399">
        <v>1.4999999999999999E-2</v>
      </c>
      <c r="N215" s="399">
        <v>1.4999999999999999E-2</v>
      </c>
      <c r="O215" s="399">
        <v>1.4999999999999999E-2</v>
      </c>
      <c r="P215" s="399">
        <v>1.4999999999999999E-2</v>
      </c>
      <c r="Q215" s="399">
        <v>1.4999999999999999E-2</v>
      </c>
      <c r="R215" s="399">
        <v>1.4999999999999999E-2</v>
      </c>
      <c r="S215" s="399">
        <v>1.4999999999999999E-2</v>
      </c>
      <c r="T215" s="399">
        <v>1.4999999999999999E-2</v>
      </c>
      <c r="U215" s="399">
        <v>1.4999999999999999E-2</v>
      </c>
      <c r="V215" s="402">
        <v>0</v>
      </c>
      <c r="W215" s="402" t="s">
        <v>687</v>
      </c>
      <c r="X215" s="402"/>
      <c r="Y215" s="726"/>
      <c r="Z215" s="726"/>
      <c r="AA215" s="387">
        <f t="shared" si="22"/>
        <v>1980</v>
      </c>
    </row>
    <row r="216" spans="1:27" s="773" customFormat="1" x14ac:dyDescent="0.2">
      <c r="A216" s="764">
        <f t="shared" si="19"/>
        <v>214</v>
      </c>
      <c r="B216" s="774">
        <v>563</v>
      </c>
      <c r="C216" s="775" t="s">
        <v>1665</v>
      </c>
      <c r="D216" s="767">
        <f t="shared" si="20"/>
        <v>1.4999999999999999E-2</v>
      </c>
      <c r="E216" s="767">
        <f t="shared" si="21"/>
        <v>1.4999999999999999E-2</v>
      </c>
      <c r="F216" s="767">
        <v>1.4999999999999999E-2</v>
      </c>
      <c r="G216" s="767">
        <v>1.4999999999999999E-2</v>
      </c>
      <c r="H216" s="767">
        <v>1.4999999999999999E-2</v>
      </c>
      <c r="I216" s="767">
        <v>1.4999999999999999E-2</v>
      </c>
      <c r="J216" s="767">
        <v>1.4999999999999999E-2</v>
      </c>
      <c r="K216" s="767">
        <v>1.4999999999999999E-2</v>
      </c>
      <c r="L216" s="767">
        <v>1.4999999999999999E-2</v>
      </c>
      <c r="M216" s="767">
        <v>1.4999999999999999E-2</v>
      </c>
      <c r="N216" s="767">
        <v>1.4999999999999999E-2</v>
      </c>
      <c r="O216" s="767">
        <v>1.4999999999999999E-2</v>
      </c>
      <c r="P216" s="767">
        <v>1.4999999999999999E-2</v>
      </c>
      <c r="Q216" s="767">
        <v>1.4999999999999999E-2</v>
      </c>
      <c r="R216" s="767">
        <v>1.4999999999999999E-2</v>
      </c>
      <c r="S216" s="767">
        <v>1.4999999999999999E-2</v>
      </c>
      <c r="T216" s="767">
        <v>1.4999999999999999E-2</v>
      </c>
      <c r="U216" s="767">
        <v>1.4999999999999999E-2</v>
      </c>
      <c r="V216" s="764">
        <v>3</v>
      </c>
      <c r="W216" s="764" t="s">
        <v>812</v>
      </c>
      <c r="X216" s="764"/>
      <c r="Y216" s="776"/>
      <c r="Z216" s="776"/>
      <c r="AA216" s="772">
        <f t="shared" si="22"/>
        <v>1980</v>
      </c>
    </row>
    <row r="217" spans="1:27" x14ac:dyDescent="0.2">
      <c r="A217" s="402">
        <f t="shared" si="19"/>
        <v>215</v>
      </c>
      <c r="B217" s="396">
        <v>549</v>
      </c>
      <c r="C217" s="394" t="s">
        <v>204</v>
      </c>
      <c r="D217" s="392">
        <f t="shared" si="20"/>
        <v>0.01</v>
      </c>
      <c r="E217" s="392">
        <f t="shared" si="21"/>
        <v>0.01</v>
      </c>
      <c r="F217" s="399">
        <v>0.01</v>
      </c>
      <c r="G217" s="399">
        <v>0.01</v>
      </c>
      <c r="H217" s="399">
        <v>0.01</v>
      </c>
      <c r="I217" s="399">
        <v>0.01</v>
      </c>
      <c r="J217" s="399">
        <v>0.01</v>
      </c>
      <c r="K217" s="399">
        <v>0.01</v>
      </c>
      <c r="L217" s="399">
        <v>0.01</v>
      </c>
      <c r="M217" s="399">
        <v>0.01</v>
      </c>
      <c r="N217" s="399">
        <v>0.01</v>
      </c>
      <c r="O217" s="399">
        <v>0.01</v>
      </c>
      <c r="P217" s="399">
        <v>0.01</v>
      </c>
      <c r="Q217" s="399">
        <v>0.01</v>
      </c>
      <c r="R217" s="399">
        <v>0.01</v>
      </c>
      <c r="S217" s="399">
        <v>0.01</v>
      </c>
      <c r="T217" s="399">
        <v>0.01</v>
      </c>
      <c r="U217" s="399">
        <v>0.01</v>
      </c>
      <c r="V217" s="402">
        <v>5</v>
      </c>
      <c r="W217" s="391" t="s">
        <v>812</v>
      </c>
      <c r="X217" s="391"/>
      <c r="Y217" s="395"/>
      <c r="Z217" s="395"/>
      <c r="AA217" s="387">
        <f t="shared" si="22"/>
        <v>1980</v>
      </c>
    </row>
    <row r="218" spans="1:27" x14ac:dyDescent="0.2">
      <c r="A218" s="391">
        <f t="shared" si="19"/>
        <v>216</v>
      </c>
      <c r="B218" s="401">
        <v>550</v>
      </c>
      <c r="C218" s="394" t="s">
        <v>205</v>
      </c>
      <c r="D218" s="392">
        <f t="shared" si="20"/>
        <v>0.02</v>
      </c>
      <c r="E218" s="392">
        <f t="shared" si="21"/>
        <v>0.02</v>
      </c>
      <c r="F218" s="399">
        <v>0.02</v>
      </c>
      <c r="G218" s="399">
        <v>0.02</v>
      </c>
      <c r="H218" s="399">
        <v>0.02</v>
      </c>
      <c r="I218" s="399">
        <v>0.02</v>
      </c>
      <c r="J218" s="399">
        <v>0.02</v>
      </c>
      <c r="K218" s="399">
        <v>0.02</v>
      </c>
      <c r="L218" s="399">
        <v>0.02</v>
      </c>
      <c r="M218" s="399">
        <v>0.02</v>
      </c>
      <c r="N218" s="399">
        <v>0.02</v>
      </c>
      <c r="O218" s="399">
        <v>0.02</v>
      </c>
      <c r="P218" s="399">
        <v>0.02</v>
      </c>
      <c r="Q218" s="399">
        <v>0.02</v>
      </c>
      <c r="R218" s="399">
        <v>0.02</v>
      </c>
      <c r="S218" s="399">
        <v>0.02</v>
      </c>
      <c r="T218" s="399">
        <v>0.02</v>
      </c>
      <c r="U218" s="399">
        <v>0.02</v>
      </c>
      <c r="V218" s="402">
        <v>5</v>
      </c>
      <c r="W218" s="391" t="s">
        <v>812</v>
      </c>
      <c r="X218" s="391"/>
      <c r="Y218" s="395"/>
      <c r="Z218" s="395"/>
      <c r="AA218" s="387">
        <f t="shared" si="22"/>
        <v>1980</v>
      </c>
    </row>
    <row r="219" spans="1:27" x14ac:dyDescent="0.2">
      <c r="A219" s="391">
        <f t="shared" si="19"/>
        <v>217</v>
      </c>
      <c r="B219" s="396">
        <v>565</v>
      </c>
      <c r="C219" s="397" t="s">
        <v>1408</v>
      </c>
      <c r="D219" s="392">
        <f t="shared" si="20"/>
        <v>0.01</v>
      </c>
      <c r="E219" s="392">
        <f t="shared" si="21"/>
        <v>0.01</v>
      </c>
      <c r="F219" s="399">
        <v>0.01</v>
      </c>
      <c r="G219" s="399">
        <v>0.01</v>
      </c>
      <c r="H219" s="399">
        <v>0.01</v>
      </c>
      <c r="I219" s="399">
        <v>0.01</v>
      </c>
      <c r="J219" s="399">
        <v>0.01</v>
      </c>
      <c r="K219" s="399">
        <v>0.01</v>
      </c>
      <c r="L219" s="399">
        <v>0.01</v>
      </c>
      <c r="M219" s="399">
        <v>0.01</v>
      </c>
      <c r="N219" s="399">
        <v>0.01</v>
      </c>
      <c r="O219" s="399">
        <v>0.01</v>
      </c>
      <c r="P219" s="399">
        <v>0.01</v>
      </c>
      <c r="Q219" s="399">
        <v>0.01</v>
      </c>
      <c r="R219" s="399">
        <v>0.01</v>
      </c>
      <c r="S219" s="399">
        <v>0.01</v>
      </c>
      <c r="T219" s="399">
        <v>0.01</v>
      </c>
      <c r="U219" s="399">
        <v>0.01</v>
      </c>
      <c r="V219" s="402">
        <v>5</v>
      </c>
      <c r="W219" s="402" t="s">
        <v>812</v>
      </c>
      <c r="X219" s="391"/>
      <c r="Y219" s="395"/>
      <c r="Z219" s="395"/>
      <c r="AA219" s="387">
        <f t="shared" si="22"/>
        <v>1980</v>
      </c>
    </row>
    <row r="220" spans="1:27" x14ac:dyDescent="0.2">
      <c r="A220" s="391">
        <f t="shared" si="19"/>
        <v>218</v>
      </c>
      <c r="B220" s="396">
        <v>621</v>
      </c>
      <c r="C220" s="397" t="s">
        <v>503</v>
      </c>
      <c r="D220" s="392">
        <f t="shared" si="20"/>
        <v>0.01</v>
      </c>
      <c r="E220" s="392">
        <f t="shared" si="21"/>
        <v>0.01</v>
      </c>
      <c r="F220" s="399">
        <v>0</v>
      </c>
      <c r="G220" s="399">
        <v>0</v>
      </c>
      <c r="H220" s="399">
        <v>0</v>
      </c>
      <c r="I220" s="399">
        <v>0</v>
      </c>
      <c r="J220" s="399">
        <v>0</v>
      </c>
      <c r="K220" s="399">
        <v>0</v>
      </c>
      <c r="L220" s="399">
        <v>0</v>
      </c>
      <c r="M220" s="399">
        <v>0</v>
      </c>
      <c r="N220" s="399">
        <v>0</v>
      </c>
      <c r="O220" s="399">
        <v>0</v>
      </c>
      <c r="P220" s="399">
        <v>0.01</v>
      </c>
      <c r="Q220" s="399">
        <v>0.01</v>
      </c>
      <c r="R220" s="399">
        <v>0.01</v>
      </c>
      <c r="S220" s="399">
        <v>0.01</v>
      </c>
      <c r="T220" s="399">
        <v>0.01</v>
      </c>
      <c r="U220" s="399">
        <v>0.01</v>
      </c>
      <c r="V220" s="402">
        <v>5</v>
      </c>
      <c r="W220" s="402" t="s">
        <v>812</v>
      </c>
      <c r="X220" s="391"/>
      <c r="Y220" s="395"/>
      <c r="Z220" s="395"/>
      <c r="AA220" s="387">
        <f t="shared" si="22"/>
        <v>2013</v>
      </c>
    </row>
    <row r="221" spans="1:27" x14ac:dyDescent="0.2">
      <c r="A221" s="391">
        <f t="shared" si="19"/>
        <v>219</v>
      </c>
      <c r="B221" s="396">
        <v>570</v>
      </c>
      <c r="C221" s="394" t="s">
        <v>206</v>
      </c>
      <c r="D221" s="392">
        <f t="shared" si="20"/>
        <v>0.02</v>
      </c>
      <c r="E221" s="392">
        <f t="shared" si="21"/>
        <v>0.02</v>
      </c>
      <c r="F221" s="399">
        <v>0.01</v>
      </c>
      <c r="G221" s="399">
        <v>0.01</v>
      </c>
      <c r="H221" s="399">
        <v>0.01</v>
      </c>
      <c r="I221" s="399">
        <v>0.02</v>
      </c>
      <c r="J221" s="399">
        <v>0.02</v>
      </c>
      <c r="K221" s="399">
        <v>0.02</v>
      </c>
      <c r="L221" s="399">
        <v>0.02</v>
      </c>
      <c r="M221" s="399">
        <v>0.02</v>
      </c>
      <c r="N221" s="399">
        <v>0.02</v>
      </c>
      <c r="O221" s="399">
        <v>0.02</v>
      </c>
      <c r="P221" s="399">
        <v>0.02</v>
      </c>
      <c r="Q221" s="399">
        <v>0.02</v>
      </c>
      <c r="R221" s="399">
        <v>0.02</v>
      </c>
      <c r="S221" s="399">
        <v>0.02</v>
      </c>
      <c r="T221" s="399">
        <v>0.02</v>
      </c>
      <c r="U221" s="399">
        <v>0.02</v>
      </c>
      <c r="V221" s="402">
        <v>5</v>
      </c>
      <c r="W221" s="391" t="s">
        <v>812</v>
      </c>
      <c r="X221" s="391"/>
      <c r="Y221" s="395"/>
      <c r="Z221" s="395"/>
      <c r="AA221" s="387">
        <f t="shared" si="22"/>
        <v>1980</v>
      </c>
    </row>
    <row r="222" spans="1:27" s="3" customFormat="1" x14ac:dyDescent="0.2">
      <c r="A222" s="402">
        <f t="shared" si="19"/>
        <v>220</v>
      </c>
      <c r="B222" s="401">
        <v>545</v>
      </c>
      <c r="C222" s="397" t="s">
        <v>1576</v>
      </c>
      <c r="D222" s="399">
        <f t="shared" si="20"/>
        <v>0.02</v>
      </c>
      <c r="E222" s="399">
        <f t="shared" si="21"/>
        <v>0.02</v>
      </c>
      <c r="F222" s="399">
        <v>1.4999999999999999E-2</v>
      </c>
      <c r="G222" s="399">
        <v>0.02</v>
      </c>
      <c r="H222" s="399">
        <v>0.02</v>
      </c>
      <c r="I222" s="399">
        <v>0.02</v>
      </c>
      <c r="J222" s="399">
        <v>0.02</v>
      </c>
      <c r="K222" s="399">
        <v>0.02</v>
      </c>
      <c r="L222" s="399">
        <v>0.02</v>
      </c>
      <c r="M222" s="399">
        <v>0.02</v>
      </c>
      <c r="N222" s="399">
        <v>0.02</v>
      </c>
      <c r="O222" s="399">
        <v>0.02</v>
      </c>
      <c r="P222" s="399">
        <v>0.02</v>
      </c>
      <c r="Q222" s="399">
        <v>0.02</v>
      </c>
      <c r="R222" s="399">
        <v>0.02</v>
      </c>
      <c r="S222" s="399">
        <v>0.02</v>
      </c>
      <c r="T222" s="399">
        <v>0.02</v>
      </c>
      <c r="U222" s="399">
        <v>0.02</v>
      </c>
      <c r="V222" s="402">
        <v>5</v>
      </c>
      <c r="W222" s="402" t="s">
        <v>812</v>
      </c>
      <c r="X222" s="402"/>
      <c r="Y222" s="726"/>
      <c r="Z222" s="726"/>
      <c r="AA222" s="387">
        <f t="shared" si="22"/>
        <v>1980</v>
      </c>
    </row>
    <row r="223" spans="1:27" s="3" customFormat="1" x14ac:dyDescent="0.2">
      <c r="A223" s="402">
        <f t="shared" si="19"/>
        <v>221</v>
      </c>
      <c r="B223" s="401">
        <v>573</v>
      </c>
      <c r="C223" s="397" t="s">
        <v>1578</v>
      </c>
      <c r="D223" s="399">
        <f t="shared" si="20"/>
        <v>1.4999999999999999E-2</v>
      </c>
      <c r="E223" s="399">
        <f t="shared" si="21"/>
        <v>1.4999999999999999E-2</v>
      </c>
      <c r="F223" s="399">
        <v>1.4999999999999999E-2</v>
      </c>
      <c r="G223" s="399">
        <v>1.4999999999999999E-2</v>
      </c>
      <c r="H223" s="399">
        <v>1.4999999999999999E-2</v>
      </c>
      <c r="I223" s="399">
        <v>1.4999999999999999E-2</v>
      </c>
      <c r="J223" s="399">
        <v>1.4999999999999999E-2</v>
      </c>
      <c r="K223" s="399">
        <v>1.4999999999999999E-2</v>
      </c>
      <c r="L223" s="399">
        <v>1.4999999999999999E-2</v>
      </c>
      <c r="M223" s="399">
        <v>1.4999999999999999E-2</v>
      </c>
      <c r="N223" s="399">
        <v>1.4999999999999999E-2</v>
      </c>
      <c r="O223" s="399">
        <v>1.4999999999999999E-2</v>
      </c>
      <c r="P223" s="399">
        <v>1.4999999999999999E-2</v>
      </c>
      <c r="Q223" s="399">
        <v>1.4999999999999999E-2</v>
      </c>
      <c r="R223" s="399">
        <v>1.4999999999999999E-2</v>
      </c>
      <c r="S223" s="399">
        <v>1.4999999999999999E-2</v>
      </c>
      <c r="T223" s="399">
        <v>1.4999999999999999E-2</v>
      </c>
      <c r="U223" s="399">
        <v>1.4999999999999999E-2</v>
      </c>
      <c r="V223" s="402">
        <v>3</v>
      </c>
      <c r="W223" s="402" t="s">
        <v>812</v>
      </c>
      <c r="X223" s="402"/>
      <c r="Y223" s="726"/>
      <c r="Z223" s="726"/>
      <c r="AA223" s="387">
        <f t="shared" si="22"/>
        <v>1980</v>
      </c>
    </row>
    <row r="224" spans="1:27" x14ac:dyDescent="0.2">
      <c r="A224" s="402">
        <f t="shared" si="19"/>
        <v>222</v>
      </c>
      <c r="B224" s="396">
        <v>624</v>
      </c>
      <c r="C224" s="397" t="s">
        <v>1441</v>
      </c>
      <c r="D224" s="392">
        <f t="shared" si="20"/>
        <v>5.0000000000000001E-3</v>
      </c>
      <c r="E224" s="392">
        <f t="shared" si="21"/>
        <v>5.0000000000000001E-3</v>
      </c>
      <c r="F224" s="399">
        <v>0</v>
      </c>
      <c r="G224" s="399">
        <v>0</v>
      </c>
      <c r="H224" s="399">
        <v>0</v>
      </c>
      <c r="I224" s="399">
        <v>0</v>
      </c>
      <c r="J224" s="399">
        <v>0</v>
      </c>
      <c r="K224" s="399">
        <v>0</v>
      </c>
      <c r="L224" s="399">
        <v>0</v>
      </c>
      <c r="M224" s="399">
        <v>0</v>
      </c>
      <c r="N224" s="399">
        <v>0</v>
      </c>
      <c r="O224" s="399">
        <v>0</v>
      </c>
      <c r="P224" s="399">
        <v>3.7499999999999999E-3</v>
      </c>
      <c r="Q224" s="399">
        <v>5.0000000000000001E-3</v>
      </c>
      <c r="R224" s="399">
        <v>5.0000000000000001E-3</v>
      </c>
      <c r="S224" s="399">
        <v>5.0000000000000001E-3</v>
      </c>
      <c r="T224" s="399">
        <v>5.0000000000000001E-3</v>
      </c>
      <c r="U224" s="399">
        <v>5.0000000000000001E-3</v>
      </c>
      <c r="V224" s="402">
        <v>5</v>
      </c>
      <c r="W224" s="391" t="s">
        <v>812</v>
      </c>
      <c r="X224" s="619" t="s">
        <v>1446</v>
      </c>
      <c r="Y224" s="395"/>
      <c r="Z224" s="395"/>
      <c r="AA224" s="387">
        <f t="shared" si="22"/>
        <v>2013</v>
      </c>
    </row>
    <row r="225" spans="1:27" x14ac:dyDescent="0.2">
      <c r="A225" s="391">
        <f t="shared" si="19"/>
        <v>223</v>
      </c>
      <c r="B225" s="396">
        <v>580</v>
      </c>
      <c r="C225" s="394" t="s">
        <v>1473</v>
      </c>
      <c r="D225" s="392">
        <f t="shared" si="20"/>
        <v>2.5000000000000001E-2</v>
      </c>
      <c r="E225" s="392">
        <f t="shared" si="21"/>
        <v>2.5000000000000001E-2</v>
      </c>
      <c r="F225" s="399">
        <v>0.02</v>
      </c>
      <c r="G225" s="399">
        <v>0.02</v>
      </c>
      <c r="H225" s="399">
        <v>0.02</v>
      </c>
      <c r="I225" s="399">
        <v>0.02</v>
      </c>
      <c r="J225" s="399">
        <v>0.02</v>
      </c>
      <c r="K225" s="399">
        <v>0.02</v>
      </c>
      <c r="L225" s="399">
        <v>2.5000000000000001E-2</v>
      </c>
      <c r="M225" s="399">
        <v>2.5000000000000001E-2</v>
      </c>
      <c r="N225" s="399">
        <v>2.5000000000000001E-2</v>
      </c>
      <c r="O225" s="399">
        <v>2.5000000000000001E-2</v>
      </c>
      <c r="P225" s="399">
        <v>2.5000000000000001E-2</v>
      </c>
      <c r="Q225" s="399">
        <v>2.5000000000000001E-2</v>
      </c>
      <c r="R225" s="399">
        <v>2.5000000000000001E-2</v>
      </c>
      <c r="S225" s="399">
        <v>2.5000000000000001E-2</v>
      </c>
      <c r="T225" s="399">
        <v>2.5000000000000001E-2</v>
      </c>
      <c r="U225" s="399">
        <v>2.5000000000000001E-2</v>
      </c>
      <c r="V225" s="402">
        <v>5</v>
      </c>
      <c r="W225" s="391" t="s">
        <v>812</v>
      </c>
      <c r="X225" s="619"/>
      <c r="Y225" s="395"/>
      <c r="Z225" s="395"/>
      <c r="AA225" s="387">
        <f t="shared" si="22"/>
        <v>1980</v>
      </c>
    </row>
    <row r="226" spans="1:27" x14ac:dyDescent="0.2">
      <c r="A226" s="391">
        <f t="shared" si="19"/>
        <v>224</v>
      </c>
      <c r="B226" s="396">
        <v>585</v>
      </c>
      <c r="C226" s="397" t="s">
        <v>207</v>
      </c>
      <c r="D226" s="392">
        <f t="shared" si="20"/>
        <v>2.5000000000000001E-2</v>
      </c>
      <c r="E226" s="392">
        <f t="shared" si="21"/>
        <v>2.5000000000000001E-2</v>
      </c>
      <c r="F226" s="399">
        <v>1.9E-2</v>
      </c>
      <c r="G226" s="399">
        <v>1.9E-2</v>
      </c>
      <c r="H226" s="399">
        <v>1.9E-2</v>
      </c>
      <c r="I226" s="399">
        <v>1.9E-2</v>
      </c>
      <c r="J226" s="399">
        <v>1.9E-2</v>
      </c>
      <c r="K226" s="399">
        <v>1.9E-2</v>
      </c>
      <c r="L226" s="399">
        <v>1.9E-2</v>
      </c>
      <c r="M226" s="399">
        <v>1.9E-2</v>
      </c>
      <c r="N226" s="399">
        <v>1.9E-2</v>
      </c>
      <c r="O226" s="399">
        <v>1.9E-2</v>
      </c>
      <c r="P226" s="399">
        <v>1.9E-2</v>
      </c>
      <c r="Q226" s="399">
        <v>2.5000000000000001E-2</v>
      </c>
      <c r="R226" s="399">
        <v>2.5000000000000001E-2</v>
      </c>
      <c r="S226" s="399">
        <v>2.5000000000000001E-2</v>
      </c>
      <c r="T226" s="399">
        <v>2.5000000000000001E-2</v>
      </c>
      <c r="U226" s="399">
        <v>2.5000000000000001E-2</v>
      </c>
      <c r="V226" s="402">
        <v>3</v>
      </c>
      <c r="W226" s="391" t="s">
        <v>812</v>
      </c>
      <c r="X226" s="391"/>
      <c r="Y226" s="395"/>
      <c r="Z226" s="395"/>
      <c r="AA226" s="387">
        <f t="shared" si="22"/>
        <v>1980</v>
      </c>
    </row>
    <row r="227" spans="1:27" x14ac:dyDescent="0.2">
      <c r="A227" s="391">
        <f t="shared" si="19"/>
        <v>225</v>
      </c>
      <c r="B227" s="401">
        <v>590</v>
      </c>
      <c r="C227" s="394" t="s">
        <v>208</v>
      </c>
      <c r="D227" s="392">
        <f t="shared" si="20"/>
        <v>1.4999999999999999E-2</v>
      </c>
      <c r="E227" s="392">
        <f t="shared" si="21"/>
        <v>1.4999999999999999E-2</v>
      </c>
      <c r="F227" s="399">
        <v>1.4999999999999999E-2</v>
      </c>
      <c r="G227" s="399">
        <v>1.4999999999999999E-2</v>
      </c>
      <c r="H227" s="399">
        <v>1.4999999999999999E-2</v>
      </c>
      <c r="I227" s="399">
        <v>1.4999999999999999E-2</v>
      </c>
      <c r="J227" s="399">
        <v>1.4999999999999999E-2</v>
      </c>
      <c r="K227" s="399">
        <v>1.4999999999999999E-2</v>
      </c>
      <c r="L227" s="399">
        <v>1.4999999999999999E-2</v>
      </c>
      <c r="M227" s="399">
        <v>1.4999999999999999E-2</v>
      </c>
      <c r="N227" s="399">
        <v>1.4999999999999999E-2</v>
      </c>
      <c r="O227" s="399">
        <v>1.4999999999999999E-2</v>
      </c>
      <c r="P227" s="399">
        <v>1.4999999999999999E-2</v>
      </c>
      <c r="Q227" s="399">
        <v>1.4999999999999999E-2</v>
      </c>
      <c r="R227" s="399">
        <v>1.4999999999999999E-2</v>
      </c>
      <c r="S227" s="399">
        <v>1.4999999999999999E-2</v>
      </c>
      <c r="T227" s="399">
        <v>1.4999999999999999E-2</v>
      </c>
      <c r="U227" s="399">
        <v>1.4999999999999999E-2</v>
      </c>
      <c r="V227" s="402">
        <v>5</v>
      </c>
      <c r="W227" s="391" t="s">
        <v>812</v>
      </c>
      <c r="X227" s="391"/>
      <c r="Y227" s="395"/>
      <c r="Z227" s="395"/>
      <c r="AA227" s="387">
        <f t="shared" si="22"/>
        <v>1980</v>
      </c>
    </row>
    <row r="228" spans="1:27" x14ac:dyDescent="0.2">
      <c r="A228" s="391">
        <f t="shared" si="19"/>
        <v>226</v>
      </c>
      <c r="B228" s="401">
        <v>589</v>
      </c>
      <c r="C228" s="394" t="s">
        <v>1314</v>
      </c>
      <c r="D228" s="392">
        <f t="shared" si="20"/>
        <v>1.4999999999999999E-2</v>
      </c>
      <c r="E228" s="392">
        <f t="shared" si="21"/>
        <v>1.4999999999999999E-2</v>
      </c>
      <c r="F228" s="399">
        <v>0</v>
      </c>
      <c r="G228" s="399">
        <v>0</v>
      </c>
      <c r="H228" s="399">
        <v>0</v>
      </c>
      <c r="I228" s="399">
        <v>0</v>
      </c>
      <c r="J228" s="399">
        <v>1.4999999999999999E-2</v>
      </c>
      <c r="K228" s="399">
        <v>1.4999999999999999E-2</v>
      </c>
      <c r="L228" s="399">
        <v>1.4999999999999999E-2</v>
      </c>
      <c r="M228" s="399">
        <v>1.4999999999999999E-2</v>
      </c>
      <c r="N228" s="399">
        <v>1.4999999999999999E-2</v>
      </c>
      <c r="O228" s="399">
        <v>1.4999999999999999E-2</v>
      </c>
      <c r="P228" s="399">
        <v>1.4999999999999999E-2</v>
      </c>
      <c r="Q228" s="399">
        <v>1.4999999999999999E-2</v>
      </c>
      <c r="R228" s="399">
        <v>1.4999999999999999E-2</v>
      </c>
      <c r="S228" s="399">
        <v>1.4999999999999999E-2</v>
      </c>
      <c r="T228" s="399">
        <v>1.4999999999999999E-2</v>
      </c>
      <c r="U228" s="399">
        <v>1.4999999999999999E-2</v>
      </c>
      <c r="V228" s="402">
        <v>5</v>
      </c>
      <c r="W228" s="391" t="s">
        <v>812</v>
      </c>
      <c r="X228" s="391"/>
      <c r="Y228" s="395"/>
      <c r="Z228" s="395"/>
      <c r="AA228" s="387">
        <f t="shared" si="22"/>
        <v>2007</v>
      </c>
    </row>
    <row r="229" spans="1:27" x14ac:dyDescent="0.2">
      <c r="A229" s="391">
        <f t="shared" si="19"/>
        <v>227</v>
      </c>
      <c r="B229" s="401">
        <v>600</v>
      </c>
      <c r="C229" s="394" t="s">
        <v>209</v>
      </c>
      <c r="D229" s="392">
        <f t="shared" si="20"/>
        <v>0.02</v>
      </c>
      <c r="E229" s="392">
        <f t="shared" si="21"/>
        <v>0.02</v>
      </c>
      <c r="F229" s="399">
        <v>0.02</v>
      </c>
      <c r="G229" s="399">
        <v>0.02</v>
      </c>
      <c r="H229" s="399">
        <v>0.02</v>
      </c>
      <c r="I229" s="399">
        <v>0.02</v>
      </c>
      <c r="J229" s="399">
        <v>0.02</v>
      </c>
      <c r="K229" s="399">
        <v>0.02</v>
      </c>
      <c r="L229" s="399">
        <v>0.02</v>
      </c>
      <c r="M229" s="399">
        <v>0.02</v>
      </c>
      <c r="N229" s="399">
        <v>0.02</v>
      </c>
      <c r="O229" s="399">
        <v>0.02</v>
      </c>
      <c r="P229" s="399">
        <v>0.02</v>
      </c>
      <c r="Q229" s="399">
        <v>0.02</v>
      </c>
      <c r="R229" s="399">
        <v>0.02</v>
      </c>
      <c r="S229" s="399">
        <v>0.02</v>
      </c>
      <c r="T229" s="399">
        <v>0.02</v>
      </c>
      <c r="U229" s="399">
        <v>0.02</v>
      </c>
      <c r="V229" s="402">
        <v>5</v>
      </c>
      <c r="W229" s="391" t="s">
        <v>812</v>
      </c>
      <c r="X229" s="391"/>
      <c r="Y229" s="395"/>
      <c r="Z229" s="395"/>
      <c r="AA229" s="387">
        <f t="shared" si="22"/>
        <v>1980</v>
      </c>
    </row>
    <row r="230" spans="1:27" x14ac:dyDescent="0.2">
      <c r="A230" s="391">
        <f t="shared" si="19"/>
        <v>228</v>
      </c>
      <c r="B230" s="396">
        <v>601</v>
      </c>
      <c r="C230" s="394" t="s">
        <v>210</v>
      </c>
      <c r="D230" s="392">
        <f t="shared" si="20"/>
        <v>0.02</v>
      </c>
      <c r="E230" s="392">
        <f t="shared" si="21"/>
        <v>0.02</v>
      </c>
      <c r="F230" s="399">
        <v>0.02</v>
      </c>
      <c r="G230" s="399">
        <v>0.02</v>
      </c>
      <c r="H230" s="399">
        <v>0.02</v>
      </c>
      <c r="I230" s="399">
        <v>0.02</v>
      </c>
      <c r="J230" s="399">
        <v>0.02</v>
      </c>
      <c r="K230" s="399">
        <v>0.02</v>
      </c>
      <c r="L230" s="399">
        <v>0.02</v>
      </c>
      <c r="M230" s="399">
        <v>0.02</v>
      </c>
      <c r="N230" s="399">
        <v>0.02</v>
      </c>
      <c r="O230" s="399">
        <v>0.02</v>
      </c>
      <c r="P230" s="399">
        <v>0.02</v>
      </c>
      <c r="Q230" s="399">
        <v>0.02</v>
      </c>
      <c r="R230" s="399">
        <v>0.02</v>
      </c>
      <c r="S230" s="399">
        <v>0.02</v>
      </c>
      <c r="T230" s="399">
        <v>0.02</v>
      </c>
      <c r="U230" s="399">
        <v>0.02</v>
      </c>
      <c r="V230" s="402">
        <v>5</v>
      </c>
      <c r="W230" s="391" t="s">
        <v>812</v>
      </c>
      <c r="X230" s="391"/>
      <c r="Y230" s="395"/>
      <c r="Z230" s="395"/>
      <c r="AA230" s="387">
        <f t="shared" si="22"/>
        <v>1980</v>
      </c>
    </row>
    <row r="231" spans="1:27" s="3" customFormat="1" x14ac:dyDescent="0.2">
      <c r="A231" s="402">
        <f t="shared" si="19"/>
        <v>229</v>
      </c>
      <c r="B231" s="401">
        <v>608</v>
      </c>
      <c r="C231" s="397" t="s">
        <v>1579</v>
      </c>
      <c r="D231" s="399">
        <f t="shared" si="20"/>
        <v>0.01</v>
      </c>
      <c r="E231" s="399">
        <f t="shared" si="21"/>
        <v>0.01</v>
      </c>
      <c r="F231" s="399">
        <v>0</v>
      </c>
      <c r="G231" s="399">
        <v>0</v>
      </c>
      <c r="H231" s="399">
        <v>0</v>
      </c>
      <c r="I231" s="399">
        <v>0</v>
      </c>
      <c r="J231" s="399">
        <v>0</v>
      </c>
      <c r="K231" s="399">
        <v>0</v>
      </c>
      <c r="L231" s="399">
        <v>0</v>
      </c>
      <c r="M231" s="399">
        <v>0</v>
      </c>
      <c r="N231" s="399">
        <v>0</v>
      </c>
      <c r="O231" s="399">
        <v>0</v>
      </c>
      <c r="P231" s="399">
        <v>0</v>
      </c>
      <c r="Q231" s="399">
        <v>0</v>
      </c>
      <c r="R231" s="399">
        <v>0</v>
      </c>
      <c r="S231" s="399">
        <v>0.01</v>
      </c>
      <c r="T231" s="399">
        <v>0.01</v>
      </c>
      <c r="U231" s="399">
        <v>0.01</v>
      </c>
      <c r="V231" s="402">
        <v>5</v>
      </c>
      <c r="W231" s="402" t="s">
        <v>812</v>
      </c>
      <c r="X231" s="402"/>
      <c r="Y231" s="726"/>
      <c r="Z231" s="726"/>
      <c r="AA231" s="387">
        <f t="shared" si="22"/>
        <v>2016</v>
      </c>
    </row>
    <row r="232" spans="1:27" x14ac:dyDescent="0.2">
      <c r="A232" s="391">
        <f t="shared" si="19"/>
        <v>230</v>
      </c>
      <c r="B232" s="396">
        <v>606</v>
      </c>
      <c r="C232" s="394" t="s">
        <v>211</v>
      </c>
      <c r="D232" s="392">
        <f t="shared" si="20"/>
        <v>0.01</v>
      </c>
      <c r="E232" s="392">
        <f t="shared" si="21"/>
        <v>0.01</v>
      </c>
      <c r="F232" s="399">
        <v>0.01</v>
      </c>
      <c r="G232" s="399">
        <v>0.01</v>
      </c>
      <c r="H232" s="399">
        <v>0.01</v>
      </c>
      <c r="I232" s="399">
        <v>0.01</v>
      </c>
      <c r="J232" s="399">
        <v>0.01</v>
      </c>
      <c r="K232" s="399">
        <v>0.01</v>
      </c>
      <c r="L232" s="399">
        <v>0.01</v>
      </c>
      <c r="M232" s="399">
        <v>0.01</v>
      </c>
      <c r="N232" s="399">
        <v>0.01</v>
      </c>
      <c r="O232" s="399">
        <v>0.01</v>
      </c>
      <c r="P232" s="399">
        <v>0.01</v>
      </c>
      <c r="Q232" s="399">
        <v>0.01</v>
      </c>
      <c r="R232" s="399">
        <v>0.01</v>
      </c>
      <c r="S232" s="399">
        <v>0.01</v>
      </c>
      <c r="T232" s="399">
        <v>0.01</v>
      </c>
      <c r="U232" s="399">
        <v>0.01</v>
      </c>
      <c r="V232" s="402">
        <v>5</v>
      </c>
      <c r="W232" s="391" t="s">
        <v>812</v>
      </c>
      <c r="X232" s="391"/>
      <c r="Y232" s="395"/>
      <c r="Z232" s="395"/>
      <c r="AA232" s="387">
        <f t="shared" si="22"/>
        <v>1980</v>
      </c>
    </row>
    <row r="233" spans="1:27" x14ac:dyDescent="0.2">
      <c r="A233" s="391">
        <f t="shared" si="19"/>
        <v>231</v>
      </c>
      <c r="B233" s="396">
        <v>578</v>
      </c>
      <c r="C233" s="397" t="s">
        <v>501</v>
      </c>
      <c r="D233" s="392">
        <f t="shared" si="20"/>
        <v>0.01</v>
      </c>
      <c r="E233" s="392">
        <f t="shared" si="21"/>
        <v>0.01</v>
      </c>
      <c r="F233" s="399">
        <v>0</v>
      </c>
      <c r="G233" s="399">
        <v>0.01</v>
      </c>
      <c r="H233" s="399">
        <v>0.01</v>
      </c>
      <c r="I233" s="399">
        <v>0.01</v>
      </c>
      <c r="J233" s="399">
        <v>0.01</v>
      </c>
      <c r="K233" s="399">
        <v>0.01</v>
      </c>
      <c r="L233" s="399">
        <v>0.01</v>
      </c>
      <c r="M233" s="399">
        <v>0.01</v>
      </c>
      <c r="N233" s="399">
        <v>0.01</v>
      </c>
      <c r="O233" s="399">
        <v>0.01</v>
      </c>
      <c r="P233" s="399">
        <v>0.01</v>
      </c>
      <c r="Q233" s="399">
        <v>0.01</v>
      </c>
      <c r="R233" s="399">
        <v>0.01</v>
      </c>
      <c r="S233" s="399">
        <v>0.01</v>
      </c>
      <c r="T233" s="399">
        <v>0.01</v>
      </c>
      <c r="U233" s="399">
        <v>0.01</v>
      </c>
      <c r="V233" s="402">
        <v>5</v>
      </c>
      <c r="W233" s="402" t="s">
        <v>812</v>
      </c>
      <c r="X233" s="391"/>
      <c r="Y233" s="395"/>
      <c r="Z233" s="395"/>
      <c r="AA233" s="387">
        <f t="shared" si="22"/>
        <v>2004</v>
      </c>
    </row>
    <row r="234" spans="1:27" x14ac:dyDescent="0.2">
      <c r="A234" s="391">
        <f t="shared" si="19"/>
        <v>232</v>
      </c>
      <c r="B234" s="396">
        <v>609</v>
      </c>
      <c r="C234" s="397" t="s">
        <v>71</v>
      </c>
      <c r="D234" s="392">
        <f t="shared" si="20"/>
        <v>0.02</v>
      </c>
      <c r="E234" s="392">
        <f t="shared" si="21"/>
        <v>0.02</v>
      </c>
      <c r="F234" s="399">
        <v>1.7500000000000002E-2</v>
      </c>
      <c r="G234" s="399">
        <v>1.7500000000000002E-2</v>
      </c>
      <c r="H234" s="399">
        <v>1.7500000000000002E-2</v>
      </c>
      <c r="I234" s="399">
        <v>1.7500000000000002E-2</v>
      </c>
      <c r="J234" s="399">
        <v>1.7500000000000002E-2</v>
      </c>
      <c r="K234" s="399">
        <v>1.7500000000000002E-2</v>
      </c>
      <c r="L234" s="399">
        <v>1.7500000000000002E-2</v>
      </c>
      <c r="M234" s="399">
        <v>0.02</v>
      </c>
      <c r="N234" s="399">
        <v>0.02</v>
      </c>
      <c r="O234" s="399">
        <v>0.02</v>
      </c>
      <c r="P234" s="399">
        <v>0.02</v>
      </c>
      <c r="Q234" s="399">
        <v>0.02</v>
      </c>
      <c r="R234" s="399">
        <v>0.02</v>
      </c>
      <c r="S234" s="399">
        <v>0.02</v>
      </c>
      <c r="T234" s="399">
        <v>0.02</v>
      </c>
      <c r="U234" s="399">
        <v>0.02</v>
      </c>
      <c r="V234" s="402">
        <v>3</v>
      </c>
      <c r="W234" s="391" t="s">
        <v>812</v>
      </c>
      <c r="X234" s="391"/>
      <c r="Y234" s="395"/>
      <c r="Z234" s="395"/>
      <c r="AA234" s="387">
        <f t="shared" si="22"/>
        <v>1980</v>
      </c>
    </row>
    <row r="235" spans="1:27" x14ac:dyDescent="0.2">
      <c r="A235" s="391">
        <f t="shared" si="19"/>
        <v>233</v>
      </c>
      <c r="B235" s="396">
        <v>610</v>
      </c>
      <c r="C235" s="397" t="s">
        <v>930</v>
      </c>
      <c r="D235" s="392">
        <f t="shared" si="20"/>
        <v>0.02</v>
      </c>
      <c r="E235" s="392">
        <f t="shared" si="21"/>
        <v>0.02</v>
      </c>
      <c r="F235" s="399">
        <v>0.02</v>
      </c>
      <c r="G235" s="399">
        <v>0.02</v>
      </c>
      <c r="H235" s="399">
        <v>0.02</v>
      </c>
      <c r="I235" s="399">
        <v>0.02</v>
      </c>
      <c r="J235" s="399">
        <v>0.02</v>
      </c>
      <c r="K235" s="399">
        <v>0.02</v>
      </c>
      <c r="L235" s="399">
        <v>0.02</v>
      </c>
      <c r="M235" s="399">
        <v>0.02</v>
      </c>
      <c r="N235" s="399">
        <v>0.02</v>
      </c>
      <c r="O235" s="399">
        <v>0.02</v>
      </c>
      <c r="P235" s="399">
        <v>0.02</v>
      </c>
      <c r="Q235" s="399">
        <v>0.02</v>
      </c>
      <c r="R235" s="399">
        <v>0.02</v>
      </c>
      <c r="S235" s="399">
        <v>0.02</v>
      </c>
      <c r="T235" s="399">
        <v>0.02</v>
      </c>
      <c r="U235" s="399">
        <v>0.02</v>
      </c>
      <c r="V235" s="402">
        <v>5</v>
      </c>
      <c r="W235" s="402" t="s">
        <v>812</v>
      </c>
      <c r="X235" s="391"/>
      <c r="Y235" s="395"/>
      <c r="Z235" s="395"/>
      <c r="AA235" s="387">
        <f t="shared" si="22"/>
        <v>1980</v>
      </c>
    </row>
    <row r="236" spans="1:27" x14ac:dyDescent="0.2">
      <c r="A236" s="391">
        <f t="shared" si="19"/>
        <v>234</v>
      </c>
      <c r="B236" s="396">
        <v>581</v>
      </c>
      <c r="C236" s="397" t="s">
        <v>1478</v>
      </c>
      <c r="D236" s="392">
        <f t="shared" si="20"/>
        <v>1.7500000000000002E-2</v>
      </c>
      <c r="E236" s="392">
        <f t="shared" si="21"/>
        <v>1.7500000000000002E-2</v>
      </c>
      <c r="F236" s="399">
        <v>1.4999999999999999E-2</v>
      </c>
      <c r="G236" s="399">
        <v>1.4999999999999999E-2</v>
      </c>
      <c r="H236" s="399">
        <v>1.4999999999999999E-2</v>
      </c>
      <c r="I236" s="399">
        <v>1.4999999999999999E-2</v>
      </c>
      <c r="J236" s="399">
        <v>1.4999999999999999E-2</v>
      </c>
      <c r="K236" s="399">
        <v>1.4999999999999999E-2</v>
      </c>
      <c r="L236" s="399">
        <v>1.4999999999999999E-2</v>
      </c>
      <c r="M236" s="399">
        <v>1.4999999999999999E-2</v>
      </c>
      <c r="N236" s="399">
        <v>1.7500000000000002E-2</v>
      </c>
      <c r="O236" s="399">
        <v>1.7500000000000002E-2</v>
      </c>
      <c r="P236" s="399">
        <v>1.7500000000000002E-2</v>
      </c>
      <c r="Q236" s="399">
        <v>1.7500000000000002E-2</v>
      </c>
      <c r="R236" s="399">
        <v>1.7500000000000002E-2</v>
      </c>
      <c r="S236" s="399">
        <v>1.7500000000000002E-2</v>
      </c>
      <c r="T236" s="399">
        <v>1.7500000000000002E-2</v>
      </c>
      <c r="U236" s="399">
        <v>1.7500000000000002E-2</v>
      </c>
      <c r="V236" s="404">
        <v>5</v>
      </c>
      <c r="W236" s="512" t="s">
        <v>812</v>
      </c>
      <c r="X236" s="391"/>
      <c r="Y236" s="395"/>
      <c r="Z236" s="395"/>
      <c r="AA236" s="387">
        <f t="shared" si="22"/>
        <v>1980</v>
      </c>
    </row>
    <row r="237" spans="1:27" x14ac:dyDescent="0.2">
      <c r="A237" s="391">
        <f t="shared" si="19"/>
        <v>235</v>
      </c>
      <c r="B237" s="396">
        <v>619</v>
      </c>
      <c r="C237" s="397" t="s">
        <v>1372</v>
      </c>
      <c r="D237" s="392">
        <f t="shared" si="20"/>
        <v>0.01</v>
      </c>
      <c r="E237" s="392">
        <f t="shared" si="21"/>
        <v>0.01</v>
      </c>
      <c r="F237" s="399">
        <v>0</v>
      </c>
      <c r="G237" s="399">
        <v>0</v>
      </c>
      <c r="H237" s="399">
        <v>0</v>
      </c>
      <c r="I237" s="399">
        <v>0</v>
      </c>
      <c r="J237" s="399">
        <v>0</v>
      </c>
      <c r="K237" s="399">
        <v>0</v>
      </c>
      <c r="L237" s="399">
        <v>0.01</v>
      </c>
      <c r="M237" s="399">
        <v>0.01</v>
      </c>
      <c r="N237" s="399">
        <v>0.01</v>
      </c>
      <c r="O237" s="399">
        <v>0.01</v>
      </c>
      <c r="P237" s="399">
        <v>0.01</v>
      </c>
      <c r="Q237" s="399">
        <v>0.01</v>
      </c>
      <c r="R237" s="399">
        <v>0.01</v>
      </c>
      <c r="S237" s="399">
        <v>0.01</v>
      </c>
      <c r="T237" s="399">
        <v>0.01</v>
      </c>
      <c r="U237" s="399">
        <v>0.01</v>
      </c>
      <c r="V237" s="404">
        <v>0</v>
      </c>
      <c r="W237" s="512" t="s">
        <v>687</v>
      </c>
      <c r="X237" s="391"/>
      <c r="Y237" s="395"/>
      <c r="Z237" s="395"/>
      <c r="AA237" s="387">
        <f t="shared" si="22"/>
        <v>2009</v>
      </c>
    </row>
    <row r="238" spans="1:27" x14ac:dyDescent="0.2">
      <c r="A238" s="391">
        <f t="shared" si="19"/>
        <v>236</v>
      </c>
      <c r="B238" s="396">
        <v>674</v>
      </c>
      <c r="C238" s="397" t="s">
        <v>1443</v>
      </c>
      <c r="D238" s="392">
        <f t="shared" si="20"/>
        <v>0.01</v>
      </c>
      <c r="E238" s="392">
        <f t="shared" si="21"/>
        <v>0.01</v>
      </c>
      <c r="F238" s="399">
        <v>0</v>
      </c>
      <c r="G238" s="399">
        <v>0</v>
      </c>
      <c r="H238" s="399">
        <v>0</v>
      </c>
      <c r="I238" s="399">
        <v>0</v>
      </c>
      <c r="J238" s="399">
        <v>0</v>
      </c>
      <c r="K238" s="399">
        <v>0</v>
      </c>
      <c r="L238" s="399">
        <v>0</v>
      </c>
      <c r="M238" s="399">
        <v>0</v>
      </c>
      <c r="N238" s="399">
        <v>0</v>
      </c>
      <c r="O238" s="399">
        <v>0</v>
      </c>
      <c r="P238" s="399">
        <v>7.4999999999999997E-3</v>
      </c>
      <c r="Q238" s="399">
        <v>0.01</v>
      </c>
      <c r="R238" s="399">
        <v>0.01</v>
      </c>
      <c r="S238" s="399">
        <v>0.01</v>
      </c>
      <c r="T238" s="399">
        <v>0.01</v>
      </c>
      <c r="U238" s="399">
        <v>0.01</v>
      </c>
      <c r="V238" s="404">
        <v>5</v>
      </c>
      <c r="W238" s="387" t="s">
        <v>812</v>
      </c>
      <c r="X238" s="619" t="s">
        <v>1446</v>
      </c>
      <c r="Y238" s="395"/>
      <c r="Z238" s="395"/>
      <c r="AA238" s="387">
        <f t="shared" si="22"/>
        <v>2013</v>
      </c>
    </row>
    <row r="239" spans="1:27" s="773" customFormat="1" x14ac:dyDescent="0.2">
      <c r="A239" s="764">
        <f t="shared" si="19"/>
        <v>237</v>
      </c>
      <c r="B239" s="774">
        <v>718</v>
      </c>
      <c r="C239" s="775" t="s">
        <v>1666</v>
      </c>
      <c r="D239" s="767">
        <f t="shared" si="20"/>
        <v>6.6699999999999997E-3</v>
      </c>
      <c r="E239" s="767">
        <f t="shared" si="21"/>
        <v>0.01</v>
      </c>
      <c r="F239" s="767">
        <v>0</v>
      </c>
      <c r="G239" s="767">
        <v>0</v>
      </c>
      <c r="H239" s="767">
        <v>0</v>
      </c>
      <c r="I239" s="767">
        <v>0</v>
      </c>
      <c r="J239" s="767">
        <v>0</v>
      </c>
      <c r="K239" s="767">
        <v>0</v>
      </c>
      <c r="L239" s="767">
        <v>0</v>
      </c>
      <c r="M239" s="767">
        <v>0</v>
      </c>
      <c r="N239" s="767">
        <v>0</v>
      </c>
      <c r="O239" s="767">
        <v>0</v>
      </c>
      <c r="P239" s="767">
        <v>0</v>
      </c>
      <c r="Q239" s="767">
        <v>0</v>
      </c>
      <c r="R239" s="767">
        <v>0</v>
      </c>
      <c r="S239" s="767">
        <v>0</v>
      </c>
      <c r="T239" s="767">
        <v>6.6699999999999997E-3</v>
      </c>
      <c r="U239" s="767">
        <v>0.01</v>
      </c>
      <c r="V239" s="781">
        <v>5</v>
      </c>
      <c r="W239" s="772" t="s">
        <v>812</v>
      </c>
      <c r="X239" s="779" t="s">
        <v>1654</v>
      </c>
      <c r="Y239" s="776"/>
      <c r="Z239" s="776"/>
      <c r="AA239" s="772">
        <f t="shared" si="22"/>
        <v>2017</v>
      </c>
    </row>
    <row r="240" spans="1:27" x14ac:dyDescent="0.2">
      <c r="A240" s="391">
        <f t="shared" si="19"/>
        <v>238</v>
      </c>
      <c r="B240" s="396">
        <v>631</v>
      </c>
      <c r="C240" s="397" t="s">
        <v>1494</v>
      </c>
      <c r="D240" s="392">
        <f t="shared" si="20"/>
        <v>0.02</v>
      </c>
      <c r="E240" s="392">
        <f t="shared" si="21"/>
        <v>0.02</v>
      </c>
      <c r="F240" s="399">
        <v>0.01</v>
      </c>
      <c r="G240" s="399">
        <v>0.01</v>
      </c>
      <c r="H240" s="399">
        <v>0.01</v>
      </c>
      <c r="I240" s="399">
        <v>0.01</v>
      </c>
      <c r="J240" s="399">
        <v>0.01</v>
      </c>
      <c r="K240" s="399">
        <v>0.01</v>
      </c>
      <c r="L240" s="399">
        <v>0.01</v>
      </c>
      <c r="M240" s="399">
        <v>0.01</v>
      </c>
      <c r="N240" s="399">
        <v>0.01</v>
      </c>
      <c r="O240" s="399">
        <v>0.01</v>
      </c>
      <c r="P240" s="399">
        <v>0.02</v>
      </c>
      <c r="Q240" s="399">
        <v>0.02</v>
      </c>
      <c r="R240" s="399">
        <v>0.02</v>
      </c>
      <c r="S240" s="399">
        <v>0.02</v>
      </c>
      <c r="T240" s="399">
        <v>0.02</v>
      </c>
      <c r="U240" s="399">
        <v>0.02</v>
      </c>
      <c r="V240" s="404">
        <v>5</v>
      </c>
      <c r="W240" s="387" t="s">
        <v>812</v>
      </c>
      <c r="X240" s="619"/>
      <c r="Y240" s="395"/>
      <c r="Z240" s="395"/>
      <c r="AA240" s="387">
        <f t="shared" si="22"/>
        <v>1980</v>
      </c>
    </row>
    <row r="241" spans="1:27" x14ac:dyDescent="0.2">
      <c r="A241" s="391">
        <f>+A240+1</f>
        <v>239</v>
      </c>
      <c r="B241" s="396">
        <v>650</v>
      </c>
      <c r="C241" s="394" t="s">
        <v>212</v>
      </c>
      <c r="D241" s="392">
        <f t="shared" si="20"/>
        <v>0.01</v>
      </c>
      <c r="E241" s="392">
        <f t="shared" si="21"/>
        <v>0.01</v>
      </c>
      <c r="F241" s="399">
        <v>0.01</v>
      </c>
      <c r="G241" s="399">
        <v>0.01</v>
      </c>
      <c r="H241" s="399">
        <v>0.01</v>
      </c>
      <c r="I241" s="399">
        <v>0.01</v>
      </c>
      <c r="J241" s="399">
        <v>0.01</v>
      </c>
      <c r="K241" s="399">
        <v>0.01</v>
      </c>
      <c r="L241" s="399">
        <v>0.01</v>
      </c>
      <c r="M241" s="399">
        <v>0.01</v>
      </c>
      <c r="N241" s="399">
        <v>0.01</v>
      </c>
      <c r="O241" s="399">
        <v>0.01</v>
      </c>
      <c r="P241" s="399">
        <v>0.01</v>
      </c>
      <c r="Q241" s="399">
        <v>0.01</v>
      </c>
      <c r="R241" s="399">
        <v>0.01</v>
      </c>
      <c r="S241" s="399">
        <v>0.01</v>
      </c>
      <c r="T241" s="399">
        <v>0.01</v>
      </c>
      <c r="U241" s="399">
        <v>0.01</v>
      </c>
      <c r="V241" s="402">
        <v>5</v>
      </c>
      <c r="W241" s="391" t="s">
        <v>812</v>
      </c>
      <c r="X241" s="391"/>
      <c r="Y241" s="395"/>
      <c r="Z241" s="395"/>
      <c r="AA241" s="387">
        <f t="shared" si="22"/>
        <v>1980</v>
      </c>
    </row>
    <row r="242" spans="1:27" x14ac:dyDescent="0.2">
      <c r="A242" s="391">
        <f t="shared" si="19"/>
        <v>240</v>
      </c>
      <c r="B242" s="396">
        <v>654</v>
      </c>
      <c r="C242" s="397" t="s">
        <v>1315</v>
      </c>
      <c r="D242" s="392">
        <f t="shared" si="20"/>
        <v>0.02</v>
      </c>
      <c r="E242" s="392">
        <f t="shared" si="21"/>
        <v>0.02</v>
      </c>
      <c r="F242" s="399">
        <v>0.01</v>
      </c>
      <c r="G242" s="399">
        <v>0.01</v>
      </c>
      <c r="H242" s="399">
        <v>0.01</v>
      </c>
      <c r="I242" s="399">
        <v>0.01</v>
      </c>
      <c r="J242" s="399">
        <v>0.01</v>
      </c>
      <c r="K242" s="399">
        <v>0.01</v>
      </c>
      <c r="L242" s="399">
        <v>0.01</v>
      </c>
      <c r="M242" s="399">
        <v>0.01</v>
      </c>
      <c r="N242" s="399">
        <v>0.01</v>
      </c>
      <c r="O242" s="399">
        <v>0.01</v>
      </c>
      <c r="P242" s="399">
        <v>1.4999999999999999E-2</v>
      </c>
      <c r="Q242" s="399">
        <v>0.02</v>
      </c>
      <c r="R242" s="399">
        <v>0.02</v>
      </c>
      <c r="S242" s="399">
        <v>0.02</v>
      </c>
      <c r="T242" s="399">
        <v>0.02</v>
      </c>
      <c r="U242" s="399">
        <v>0.02</v>
      </c>
      <c r="V242" s="402">
        <v>5</v>
      </c>
      <c r="W242" s="391" t="s">
        <v>812</v>
      </c>
      <c r="X242" s="619" t="s">
        <v>1446</v>
      </c>
      <c r="Y242" s="395"/>
      <c r="Z242" s="395"/>
      <c r="AA242" s="387">
        <f t="shared" si="22"/>
        <v>1980</v>
      </c>
    </row>
    <row r="243" spans="1:27" x14ac:dyDescent="0.2">
      <c r="A243" s="391">
        <f t="shared" si="19"/>
        <v>241</v>
      </c>
      <c r="B243" s="396">
        <v>664</v>
      </c>
      <c r="C243" s="394" t="s">
        <v>1316</v>
      </c>
      <c r="D243" s="392">
        <f t="shared" si="20"/>
        <v>0.01</v>
      </c>
      <c r="E243" s="392">
        <f t="shared" si="21"/>
        <v>0.01</v>
      </c>
      <c r="F243" s="399">
        <v>0.01</v>
      </c>
      <c r="G243" s="399">
        <v>0.01</v>
      </c>
      <c r="H243" s="399">
        <v>0.01</v>
      </c>
      <c r="I243" s="399">
        <v>0.01</v>
      </c>
      <c r="J243" s="399">
        <v>0.01</v>
      </c>
      <c r="K243" s="399">
        <v>0.01</v>
      </c>
      <c r="L243" s="399">
        <v>0.01</v>
      </c>
      <c r="M243" s="399">
        <v>0.01</v>
      </c>
      <c r="N243" s="399">
        <v>0.01</v>
      </c>
      <c r="O243" s="399">
        <v>0.01</v>
      </c>
      <c r="P243" s="399">
        <v>0.01</v>
      </c>
      <c r="Q243" s="399">
        <v>0.01</v>
      </c>
      <c r="R243" s="399">
        <v>0.01</v>
      </c>
      <c r="S243" s="399">
        <v>0.01</v>
      </c>
      <c r="T243" s="399">
        <v>0.01</v>
      </c>
      <c r="U243" s="399">
        <v>0.01</v>
      </c>
      <c r="V243" s="402">
        <v>5</v>
      </c>
      <c r="W243" s="391" t="s">
        <v>812</v>
      </c>
      <c r="X243" s="391"/>
      <c r="Y243" s="395"/>
      <c r="Z243" s="395"/>
      <c r="AA243" s="387">
        <f t="shared" si="22"/>
        <v>1980</v>
      </c>
    </row>
    <row r="244" spans="1:27" x14ac:dyDescent="0.2">
      <c r="A244" s="391">
        <f t="shared" si="19"/>
        <v>242</v>
      </c>
      <c r="B244" s="396">
        <v>637</v>
      </c>
      <c r="C244" s="394" t="s">
        <v>213</v>
      </c>
      <c r="D244" s="392">
        <f t="shared" si="20"/>
        <v>0.01</v>
      </c>
      <c r="E244" s="392">
        <f t="shared" si="21"/>
        <v>0.01</v>
      </c>
      <c r="F244" s="399">
        <v>0</v>
      </c>
      <c r="G244" s="399">
        <v>0.01</v>
      </c>
      <c r="H244" s="399">
        <v>0.01</v>
      </c>
      <c r="I244" s="399">
        <v>0.01</v>
      </c>
      <c r="J244" s="399">
        <v>0.01</v>
      </c>
      <c r="K244" s="399">
        <v>0.01</v>
      </c>
      <c r="L244" s="399">
        <v>0.01</v>
      </c>
      <c r="M244" s="399">
        <v>0.01</v>
      </c>
      <c r="N244" s="399">
        <v>0.01</v>
      </c>
      <c r="O244" s="399">
        <v>0.01</v>
      </c>
      <c r="P244" s="399">
        <v>0.01</v>
      </c>
      <c r="Q244" s="399">
        <v>0.01</v>
      </c>
      <c r="R244" s="399">
        <v>0.01</v>
      </c>
      <c r="S244" s="399">
        <v>0.01</v>
      </c>
      <c r="T244" s="399">
        <v>0.01</v>
      </c>
      <c r="U244" s="399">
        <v>0.01</v>
      </c>
      <c r="V244" s="402">
        <v>0</v>
      </c>
      <c r="W244" s="391" t="s">
        <v>687</v>
      </c>
      <c r="X244" s="391"/>
      <c r="Y244" s="395"/>
      <c r="Z244" s="395"/>
      <c r="AA244" s="387">
        <f t="shared" si="22"/>
        <v>2004</v>
      </c>
    </row>
    <row r="245" spans="1:27" x14ac:dyDescent="0.2">
      <c r="A245" s="391">
        <f t="shared" si="19"/>
        <v>243</v>
      </c>
      <c r="B245" s="396">
        <v>640</v>
      </c>
      <c r="C245" s="394" t="s">
        <v>214</v>
      </c>
      <c r="D245" s="392">
        <f t="shared" si="20"/>
        <v>1.4999999999999999E-2</v>
      </c>
      <c r="E245" s="392">
        <f t="shared" si="21"/>
        <v>1.4999999999999999E-2</v>
      </c>
      <c r="F245" s="399">
        <v>0.01</v>
      </c>
      <c r="G245" s="399">
        <v>0.01</v>
      </c>
      <c r="H245" s="399">
        <v>0.01</v>
      </c>
      <c r="I245" s="399">
        <v>0.01</v>
      </c>
      <c r="J245" s="399">
        <v>0.01</v>
      </c>
      <c r="K245" s="399">
        <v>0.01</v>
      </c>
      <c r="L245" s="399">
        <v>0.01</v>
      </c>
      <c r="M245" s="399">
        <v>0.01</v>
      </c>
      <c r="N245" s="399">
        <v>0.01</v>
      </c>
      <c r="O245" s="399">
        <v>0.01</v>
      </c>
      <c r="P245" s="399">
        <v>0.01</v>
      </c>
      <c r="Q245" s="399">
        <v>0.01</v>
      </c>
      <c r="R245" s="399">
        <v>1.2500000000000001E-2</v>
      </c>
      <c r="S245" s="399">
        <v>1.4999999999999999E-2</v>
      </c>
      <c r="T245" s="399">
        <v>1.4999999999999999E-2</v>
      </c>
      <c r="U245" s="399">
        <v>1.4999999999999999E-2</v>
      </c>
      <c r="V245" s="402">
        <v>5</v>
      </c>
      <c r="W245" s="391" t="s">
        <v>812</v>
      </c>
      <c r="X245" s="619" t="s">
        <v>1566</v>
      </c>
      <c r="Y245" s="395"/>
      <c r="Z245" s="395"/>
      <c r="AA245" s="387">
        <f t="shared" si="22"/>
        <v>1980</v>
      </c>
    </row>
    <row r="246" spans="1:27" x14ac:dyDescent="0.2">
      <c r="A246" s="391">
        <f t="shared" si="19"/>
        <v>244</v>
      </c>
      <c r="B246" s="396">
        <v>641</v>
      </c>
      <c r="C246" s="394" t="s">
        <v>1280</v>
      </c>
      <c r="D246" s="392">
        <f t="shared" si="20"/>
        <v>7.4999999999999997E-3</v>
      </c>
      <c r="E246" s="392">
        <f t="shared" si="21"/>
        <v>7.4999999999999997E-3</v>
      </c>
      <c r="F246" s="399">
        <v>7.4999999999999997E-3</v>
      </c>
      <c r="G246" s="399">
        <v>7.4999999999999997E-3</v>
      </c>
      <c r="H246" s="399">
        <v>7.4999999999999997E-3</v>
      </c>
      <c r="I246" s="399">
        <v>7.4999999999999997E-3</v>
      </c>
      <c r="J246" s="399">
        <v>7.4999999999999997E-3</v>
      </c>
      <c r="K246" s="399">
        <v>7.4999999999999997E-3</v>
      </c>
      <c r="L246" s="399">
        <v>7.4999999999999997E-3</v>
      </c>
      <c r="M246" s="399">
        <v>7.4999999999999997E-3</v>
      </c>
      <c r="N246" s="399">
        <v>7.4999999999999997E-3</v>
      </c>
      <c r="O246" s="399">
        <v>7.4999999999999997E-3</v>
      </c>
      <c r="P246" s="399">
        <v>7.4999999999999997E-3</v>
      </c>
      <c r="Q246" s="399">
        <v>7.4999999999999997E-3</v>
      </c>
      <c r="R246" s="399">
        <v>7.4999999999999997E-3</v>
      </c>
      <c r="S246" s="399">
        <v>7.4999999999999997E-3</v>
      </c>
      <c r="T246" s="399">
        <v>7.4999999999999997E-3</v>
      </c>
      <c r="U246" s="399">
        <v>7.4999999999999997E-3</v>
      </c>
      <c r="V246" s="402">
        <v>5</v>
      </c>
      <c r="W246" s="391" t="s">
        <v>812</v>
      </c>
      <c r="X246" s="391"/>
      <c r="Y246" s="395"/>
      <c r="Z246" s="395"/>
      <c r="AA246" s="387">
        <f t="shared" si="22"/>
        <v>1980</v>
      </c>
    </row>
    <row r="247" spans="1:27" x14ac:dyDescent="0.2">
      <c r="A247" s="391">
        <f t="shared" si="19"/>
        <v>245</v>
      </c>
      <c r="B247" s="396">
        <v>642</v>
      </c>
      <c r="C247" s="397" t="s">
        <v>502</v>
      </c>
      <c r="D247" s="392">
        <f t="shared" si="20"/>
        <v>0.01</v>
      </c>
      <c r="E247" s="392">
        <f t="shared" si="21"/>
        <v>0.01</v>
      </c>
      <c r="F247" s="399">
        <v>0</v>
      </c>
      <c r="G247" s="399">
        <v>0</v>
      </c>
      <c r="H247" s="399">
        <v>0</v>
      </c>
      <c r="I247" s="399">
        <v>0</v>
      </c>
      <c r="J247" s="399">
        <v>0</v>
      </c>
      <c r="K247" s="399">
        <v>0</v>
      </c>
      <c r="L247" s="399">
        <v>0</v>
      </c>
      <c r="M247" s="399">
        <v>0</v>
      </c>
      <c r="N247" s="399">
        <v>0</v>
      </c>
      <c r="O247" s="399">
        <v>0.01</v>
      </c>
      <c r="P247" s="399">
        <v>0.01</v>
      </c>
      <c r="Q247" s="399">
        <v>0.01</v>
      </c>
      <c r="R247" s="399">
        <v>0.01</v>
      </c>
      <c r="S247" s="399">
        <v>0.01</v>
      </c>
      <c r="T247" s="399">
        <v>0.01</v>
      </c>
      <c r="U247" s="399">
        <v>0.01</v>
      </c>
      <c r="V247" s="402">
        <v>5</v>
      </c>
      <c r="W247" s="402" t="s">
        <v>812</v>
      </c>
      <c r="X247" s="619" t="s">
        <v>726</v>
      </c>
      <c r="Y247" s="395"/>
      <c r="Z247" s="395"/>
      <c r="AA247" s="387">
        <f t="shared" si="22"/>
        <v>2012</v>
      </c>
    </row>
    <row r="248" spans="1:27" x14ac:dyDescent="0.2">
      <c r="A248" s="391">
        <f t="shared" si="19"/>
        <v>246</v>
      </c>
      <c r="B248" s="396">
        <v>644</v>
      </c>
      <c r="C248" s="394" t="s">
        <v>1317</v>
      </c>
      <c r="D248" s="392">
        <f t="shared" si="20"/>
        <v>0.01</v>
      </c>
      <c r="E248" s="392">
        <f t="shared" si="21"/>
        <v>0.01</v>
      </c>
      <c r="F248" s="399">
        <v>0</v>
      </c>
      <c r="G248" s="399">
        <v>0</v>
      </c>
      <c r="H248" s="399">
        <v>0</v>
      </c>
      <c r="I248" s="399">
        <v>0</v>
      </c>
      <c r="J248" s="399">
        <v>0</v>
      </c>
      <c r="K248" s="399">
        <v>0.01</v>
      </c>
      <c r="L248" s="399">
        <v>0.01</v>
      </c>
      <c r="M248" s="399">
        <v>0.01</v>
      </c>
      <c r="N248" s="399">
        <v>0.01</v>
      </c>
      <c r="O248" s="399">
        <v>0.01</v>
      </c>
      <c r="P248" s="399">
        <v>0.01</v>
      </c>
      <c r="Q248" s="399">
        <v>0.01</v>
      </c>
      <c r="R248" s="399">
        <v>0.01</v>
      </c>
      <c r="S248" s="399">
        <v>0.01</v>
      </c>
      <c r="T248" s="399">
        <v>0.01</v>
      </c>
      <c r="U248" s="399">
        <v>0.01</v>
      </c>
      <c r="V248" s="402">
        <v>5</v>
      </c>
      <c r="W248" s="391" t="s">
        <v>812</v>
      </c>
      <c r="X248" s="391"/>
      <c r="Y248" s="395"/>
      <c r="Z248" s="395"/>
      <c r="AA248" s="387">
        <f t="shared" si="22"/>
        <v>2008</v>
      </c>
    </row>
    <row r="249" spans="1:27" x14ac:dyDescent="0.2">
      <c r="A249" s="391">
        <f t="shared" si="19"/>
        <v>247</v>
      </c>
      <c r="B249" s="396">
        <v>648</v>
      </c>
      <c r="C249" s="394" t="s">
        <v>215</v>
      </c>
      <c r="D249" s="392">
        <f t="shared" si="20"/>
        <v>7.4999999999999997E-3</v>
      </c>
      <c r="E249" s="392">
        <f t="shared" si="21"/>
        <v>7.4999999999999997E-3</v>
      </c>
      <c r="F249" s="399">
        <v>7.4999999999999997E-3</v>
      </c>
      <c r="G249" s="399">
        <v>7.4999999999999997E-3</v>
      </c>
      <c r="H249" s="399">
        <v>7.4999999999999997E-3</v>
      </c>
      <c r="I249" s="399">
        <v>7.4999999999999997E-3</v>
      </c>
      <c r="J249" s="399">
        <v>7.4999999999999997E-3</v>
      </c>
      <c r="K249" s="399">
        <v>7.4999999999999997E-3</v>
      </c>
      <c r="L249" s="399">
        <v>7.4999999999999997E-3</v>
      </c>
      <c r="M249" s="399">
        <v>7.4999999999999997E-3</v>
      </c>
      <c r="N249" s="399">
        <v>7.4999999999999997E-3</v>
      </c>
      <c r="O249" s="399">
        <v>7.4999999999999997E-3</v>
      </c>
      <c r="P249" s="399">
        <v>7.4999999999999997E-3</v>
      </c>
      <c r="Q249" s="399">
        <v>7.4999999999999997E-3</v>
      </c>
      <c r="R249" s="399">
        <v>7.4999999999999997E-3</v>
      </c>
      <c r="S249" s="399">
        <v>7.4999999999999997E-3</v>
      </c>
      <c r="T249" s="399">
        <v>7.4999999999999997E-3</v>
      </c>
      <c r="U249" s="399">
        <v>7.4999999999999997E-3</v>
      </c>
      <c r="V249" s="402">
        <v>0</v>
      </c>
      <c r="W249" s="391" t="s">
        <v>687</v>
      </c>
      <c r="X249" s="391"/>
      <c r="Y249" s="395"/>
      <c r="Z249" s="395"/>
      <c r="AA249" s="387">
        <f t="shared" si="22"/>
        <v>1980</v>
      </c>
    </row>
    <row r="250" spans="1:27" x14ac:dyDescent="0.2">
      <c r="A250" s="391">
        <f t="shared" si="19"/>
        <v>248</v>
      </c>
      <c r="B250" s="396">
        <v>645</v>
      </c>
      <c r="C250" s="397" t="s">
        <v>216</v>
      </c>
      <c r="D250" s="392">
        <f t="shared" si="20"/>
        <v>0.01</v>
      </c>
      <c r="E250" s="392">
        <f t="shared" si="21"/>
        <v>0.01</v>
      </c>
      <c r="F250" s="399">
        <v>7.4999999999999997E-3</v>
      </c>
      <c r="G250" s="399">
        <v>7.4999999999999997E-3</v>
      </c>
      <c r="H250" s="399">
        <v>7.4999999999999997E-3</v>
      </c>
      <c r="I250" s="399">
        <v>7.4999999999999997E-3</v>
      </c>
      <c r="J250" s="399">
        <v>7.4999999999999997E-3</v>
      </c>
      <c r="K250" s="399">
        <v>7.4999999999999997E-3</v>
      </c>
      <c r="L250" s="399">
        <v>7.4999999999999997E-3</v>
      </c>
      <c r="M250" s="399">
        <v>7.4999999999999997E-3</v>
      </c>
      <c r="N250" s="399">
        <v>7.4999999999999997E-3</v>
      </c>
      <c r="O250" s="399">
        <v>7.4999999999999997E-3</v>
      </c>
      <c r="P250" s="399">
        <v>8.7500000000000008E-3</v>
      </c>
      <c r="Q250" s="399">
        <v>0.01</v>
      </c>
      <c r="R250" s="399">
        <v>0.01</v>
      </c>
      <c r="S250" s="399">
        <v>0.01</v>
      </c>
      <c r="T250" s="399">
        <v>0.01</v>
      </c>
      <c r="U250" s="399">
        <v>0.01</v>
      </c>
      <c r="V250" s="402">
        <v>5</v>
      </c>
      <c r="W250" s="391" t="s">
        <v>812</v>
      </c>
      <c r="X250" s="619" t="s">
        <v>1446</v>
      </c>
      <c r="Y250" s="395"/>
      <c r="Z250" s="395"/>
      <c r="AA250" s="387">
        <f t="shared" si="22"/>
        <v>1980</v>
      </c>
    </row>
    <row r="251" spans="1:27" x14ac:dyDescent="0.2">
      <c r="A251" s="391">
        <f t="shared" si="19"/>
        <v>249</v>
      </c>
      <c r="B251" s="396">
        <v>643</v>
      </c>
      <c r="C251" s="394" t="s">
        <v>1373</v>
      </c>
      <c r="D251" s="392">
        <f t="shared" si="20"/>
        <v>0.01</v>
      </c>
      <c r="E251" s="392">
        <f t="shared" si="21"/>
        <v>0.01</v>
      </c>
      <c r="F251" s="399">
        <v>0</v>
      </c>
      <c r="G251" s="399">
        <v>0</v>
      </c>
      <c r="H251" s="399">
        <v>0</v>
      </c>
      <c r="I251" s="399">
        <v>0</v>
      </c>
      <c r="J251" s="399">
        <v>0</v>
      </c>
      <c r="K251" s="399">
        <v>0</v>
      </c>
      <c r="L251" s="399">
        <v>0.01</v>
      </c>
      <c r="M251" s="399">
        <v>0.01</v>
      </c>
      <c r="N251" s="399">
        <v>0.01</v>
      </c>
      <c r="O251" s="399">
        <v>0.01</v>
      </c>
      <c r="P251" s="399">
        <v>0.01</v>
      </c>
      <c r="Q251" s="399">
        <v>0.01</v>
      </c>
      <c r="R251" s="399">
        <v>0.01</v>
      </c>
      <c r="S251" s="399">
        <v>0.01</v>
      </c>
      <c r="T251" s="399">
        <v>0.01</v>
      </c>
      <c r="U251" s="399">
        <v>0.01</v>
      </c>
      <c r="V251" s="402">
        <v>5</v>
      </c>
      <c r="W251" s="512" t="s">
        <v>812</v>
      </c>
      <c r="X251" s="391"/>
      <c r="Y251" s="395"/>
      <c r="Z251" s="395"/>
      <c r="AA251" s="387">
        <f t="shared" si="22"/>
        <v>2009</v>
      </c>
    </row>
    <row r="252" spans="1:27" x14ac:dyDescent="0.2">
      <c r="A252" s="391">
        <f t="shared" si="19"/>
        <v>250</v>
      </c>
      <c r="B252" s="396">
        <v>657</v>
      </c>
      <c r="C252" s="397" t="s">
        <v>1442</v>
      </c>
      <c r="D252" s="392">
        <f t="shared" si="20"/>
        <v>2.5000000000000001E-2</v>
      </c>
      <c r="E252" s="392">
        <f t="shared" si="21"/>
        <v>2.5000000000000001E-2</v>
      </c>
      <c r="F252" s="406">
        <v>1.7999999999999999E-2</v>
      </c>
      <c r="G252" s="399">
        <v>0.02</v>
      </c>
      <c r="H252" s="399">
        <v>0.02</v>
      </c>
      <c r="I252" s="399">
        <v>0.02</v>
      </c>
      <c r="J252" s="399">
        <v>0.02</v>
      </c>
      <c r="K252" s="399">
        <v>0.02</v>
      </c>
      <c r="L252" s="399">
        <v>0.02</v>
      </c>
      <c r="M252" s="399">
        <v>0.02</v>
      </c>
      <c r="N252" s="399">
        <v>0.02</v>
      </c>
      <c r="O252" s="399">
        <v>0.02</v>
      </c>
      <c r="P252" s="399">
        <v>0.02</v>
      </c>
      <c r="Q252" s="399">
        <v>2.1250000000000002E-2</v>
      </c>
      <c r="R252" s="399">
        <v>2.4166E-2</v>
      </c>
      <c r="S252" s="399">
        <v>2.5000000000000001E-2</v>
      </c>
      <c r="T252" s="399">
        <v>2.5000000000000001E-2</v>
      </c>
      <c r="U252" s="399">
        <v>2.5000000000000001E-2</v>
      </c>
      <c r="V252" s="402">
        <v>5</v>
      </c>
      <c r="W252" s="512" t="s">
        <v>812</v>
      </c>
      <c r="X252" s="619" t="s">
        <v>1489</v>
      </c>
      <c r="Y252" s="395"/>
      <c r="Z252" s="395"/>
      <c r="AA252" s="387">
        <f t="shared" si="22"/>
        <v>1980</v>
      </c>
    </row>
    <row r="253" spans="1:27" x14ac:dyDescent="0.2">
      <c r="A253" s="391">
        <f>+A252+1</f>
        <v>251</v>
      </c>
      <c r="B253" s="401">
        <v>660</v>
      </c>
      <c r="C253" s="394" t="s">
        <v>217</v>
      </c>
      <c r="D253" s="392">
        <f t="shared" si="20"/>
        <v>1.4999999999999999E-2</v>
      </c>
      <c r="E253" s="392">
        <f t="shared" si="21"/>
        <v>1.4999999999999999E-2</v>
      </c>
      <c r="F253" s="399">
        <v>1.4999999999999999E-2</v>
      </c>
      <c r="G253" s="399">
        <v>1.4999999999999999E-2</v>
      </c>
      <c r="H253" s="399">
        <v>1.4999999999999999E-2</v>
      </c>
      <c r="I253" s="399">
        <v>1.4999999999999999E-2</v>
      </c>
      <c r="J253" s="399">
        <v>1.4999999999999999E-2</v>
      </c>
      <c r="K253" s="399">
        <v>1.4999999999999999E-2</v>
      </c>
      <c r="L253" s="399">
        <v>1.4999999999999999E-2</v>
      </c>
      <c r="M253" s="399">
        <v>1.4999999999999999E-2</v>
      </c>
      <c r="N253" s="399">
        <v>1.4999999999999999E-2</v>
      </c>
      <c r="O253" s="399">
        <v>1.4999999999999999E-2</v>
      </c>
      <c r="P253" s="399">
        <v>1.4999999999999999E-2</v>
      </c>
      <c r="Q253" s="399">
        <v>1.4999999999999999E-2</v>
      </c>
      <c r="R253" s="399">
        <v>1.4999999999999999E-2</v>
      </c>
      <c r="S253" s="399">
        <v>1.4999999999999999E-2</v>
      </c>
      <c r="T253" s="399">
        <v>1.4999999999999999E-2</v>
      </c>
      <c r="U253" s="399">
        <v>1.4999999999999999E-2</v>
      </c>
      <c r="V253" s="402">
        <v>5</v>
      </c>
      <c r="W253" s="391" t="s">
        <v>812</v>
      </c>
      <c r="X253" s="391"/>
      <c r="Y253" s="395"/>
      <c r="Z253" s="395"/>
      <c r="AA253" s="387">
        <f t="shared" si="22"/>
        <v>1980</v>
      </c>
    </row>
    <row r="254" spans="1:27" x14ac:dyDescent="0.2">
      <c r="A254" s="391">
        <f t="shared" si="19"/>
        <v>252</v>
      </c>
      <c r="B254" s="396">
        <v>661</v>
      </c>
      <c r="C254" s="394" t="s">
        <v>1479</v>
      </c>
      <c r="D254" s="392">
        <f t="shared" si="20"/>
        <v>1.4999999999999999E-2</v>
      </c>
      <c r="E254" s="392">
        <f t="shared" si="21"/>
        <v>1.4999999999999999E-2</v>
      </c>
      <c r="F254" s="399">
        <v>1.4999999999999999E-2</v>
      </c>
      <c r="G254" s="399">
        <v>1.4999999999999999E-2</v>
      </c>
      <c r="H254" s="399">
        <v>1.4999999999999999E-2</v>
      </c>
      <c r="I254" s="399">
        <v>1.4999999999999999E-2</v>
      </c>
      <c r="J254" s="399">
        <v>1.4999999999999999E-2</v>
      </c>
      <c r="K254" s="399">
        <v>1.4999999999999999E-2</v>
      </c>
      <c r="L254" s="399">
        <v>1.4999999999999999E-2</v>
      </c>
      <c r="M254" s="399">
        <v>1.4999999999999999E-2</v>
      </c>
      <c r="N254" s="399">
        <v>1.4999999999999999E-2</v>
      </c>
      <c r="O254" s="399">
        <v>1.4999999999999999E-2</v>
      </c>
      <c r="P254" s="399">
        <v>1.4999999999999999E-2</v>
      </c>
      <c r="Q254" s="399">
        <v>1.4999999999999999E-2</v>
      </c>
      <c r="R254" s="399">
        <v>1.4999999999999999E-2</v>
      </c>
      <c r="S254" s="399">
        <v>1.4999999999999999E-2</v>
      </c>
      <c r="T254" s="399">
        <v>1.4999999999999999E-2</v>
      </c>
      <c r="U254" s="399">
        <v>1.4999999999999999E-2</v>
      </c>
      <c r="V254" s="402">
        <v>5</v>
      </c>
      <c r="W254" s="391" t="s">
        <v>812</v>
      </c>
      <c r="X254" s="391"/>
      <c r="Y254" s="395"/>
      <c r="Z254" s="395"/>
      <c r="AA254" s="387">
        <f t="shared" si="22"/>
        <v>1980</v>
      </c>
    </row>
    <row r="255" spans="1:27" x14ac:dyDescent="0.2">
      <c r="A255" s="391">
        <f t="shared" si="19"/>
        <v>253</v>
      </c>
      <c r="B255" s="396">
        <v>662</v>
      </c>
      <c r="C255" s="394" t="s">
        <v>218</v>
      </c>
      <c r="D255" s="392">
        <f t="shared" si="20"/>
        <v>2.5000000000000001E-2</v>
      </c>
      <c r="E255" s="392">
        <f t="shared" si="21"/>
        <v>2.5000000000000001E-2</v>
      </c>
      <c r="F255" s="399">
        <v>1.4999999999999999E-2</v>
      </c>
      <c r="G255" s="399">
        <v>1.4999999999999999E-2</v>
      </c>
      <c r="H255" s="399">
        <v>1.4999999999999999E-2</v>
      </c>
      <c r="I255" s="399">
        <v>1.4999999999999999E-2</v>
      </c>
      <c r="J255" s="399">
        <v>1.4999999999999999E-2</v>
      </c>
      <c r="K255" s="399">
        <v>1.4999999999999999E-2</v>
      </c>
      <c r="L255" s="399">
        <v>1.4999999999999999E-2</v>
      </c>
      <c r="M255" s="399">
        <v>1.4999999999999999E-2</v>
      </c>
      <c r="N255" s="399">
        <v>1.4999999999999999E-2</v>
      </c>
      <c r="O255" s="399">
        <v>1.4999999999999999E-2</v>
      </c>
      <c r="P255" s="399">
        <v>1.4999999999999999E-2</v>
      </c>
      <c r="Q255" s="399">
        <v>1.4999999999999999E-2</v>
      </c>
      <c r="R255" s="399">
        <v>1.4999999999999999E-2</v>
      </c>
      <c r="S255" s="399">
        <v>0.02</v>
      </c>
      <c r="T255" s="399">
        <v>2.5000000000000001E-2</v>
      </c>
      <c r="U255" s="399">
        <v>2.5000000000000001E-2</v>
      </c>
      <c r="V255" s="402">
        <v>0</v>
      </c>
      <c r="W255" s="391" t="s">
        <v>687</v>
      </c>
      <c r="X255" s="619" t="s">
        <v>1604</v>
      </c>
      <c r="Y255" s="391" t="s">
        <v>709</v>
      </c>
      <c r="Z255" s="395"/>
      <c r="AA255" s="387">
        <f t="shared" si="22"/>
        <v>1980</v>
      </c>
    </row>
    <row r="256" spans="1:27" x14ac:dyDescent="0.2">
      <c r="A256" s="391">
        <f t="shared" si="19"/>
        <v>254</v>
      </c>
      <c r="B256" s="396">
        <v>670</v>
      </c>
      <c r="C256" s="397" t="s">
        <v>219</v>
      </c>
      <c r="D256" s="392">
        <f t="shared" si="20"/>
        <v>2.2499999999999999E-2</v>
      </c>
      <c r="E256" s="392">
        <f t="shared" si="21"/>
        <v>2.2499999999999999E-2</v>
      </c>
      <c r="F256" s="399">
        <v>0.02</v>
      </c>
      <c r="G256" s="399">
        <v>0.02</v>
      </c>
      <c r="H256" s="399">
        <v>0.02</v>
      </c>
      <c r="I256" s="399">
        <v>0.02</v>
      </c>
      <c r="J256" s="399">
        <v>0.02</v>
      </c>
      <c r="K256" s="399">
        <v>0.02</v>
      </c>
      <c r="L256" s="399">
        <v>0.02</v>
      </c>
      <c r="M256" s="399">
        <v>0.02</v>
      </c>
      <c r="N256" s="399">
        <v>0.02</v>
      </c>
      <c r="O256" s="399">
        <v>2.2499999999999999E-2</v>
      </c>
      <c r="P256" s="399">
        <v>2.2499999999999999E-2</v>
      </c>
      <c r="Q256" s="399">
        <v>2.2499999999999999E-2</v>
      </c>
      <c r="R256" s="399">
        <v>2.2499999999999999E-2</v>
      </c>
      <c r="S256" s="399">
        <v>2.2499999999999999E-2</v>
      </c>
      <c r="T256" s="399">
        <v>2.2499999999999999E-2</v>
      </c>
      <c r="U256" s="399">
        <v>2.2499999999999999E-2</v>
      </c>
      <c r="V256" s="402">
        <v>5</v>
      </c>
      <c r="W256" s="402" t="s">
        <v>812</v>
      </c>
      <c r="X256" s="619" t="s">
        <v>727</v>
      </c>
      <c r="Y256" s="395"/>
      <c r="Z256" s="395"/>
      <c r="AA256" s="387">
        <f t="shared" si="22"/>
        <v>1980</v>
      </c>
    </row>
    <row r="257" spans="1:27" x14ac:dyDescent="0.2">
      <c r="A257" s="402">
        <f t="shared" si="19"/>
        <v>255</v>
      </c>
      <c r="B257" s="396">
        <v>671</v>
      </c>
      <c r="C257" s="394" t="s">
        <v>220</v>
      </c>
      <c r="D257" s="392">
        <f t="shared" si="20"/>
        <v>0.01</v>
      </c>
      <c r="E257" s="392">
        <f t="shared" si="21"/>
        <v>0.01</v>
      </c>
      <c r="F257" s="399">
        <v>0.01</v>
      </c>
      <c r="G257" s="399">
        <v>0.01</v>
      </c>
      <c r="H257" s="399">
        <v>0.01</v>
      </c>
      <c r="I257" s="399">
        <v>0.01</v>
      </c>
      <c r="J257" s="399">
        <v>0.01</v>
      </c>
      <c r="K257" s="399">
        <v>0.01</v>
      </c>
      <c r="L257" s="399">
        <v>0.01</v>
      </c>
      <c r="M257" s="399">
        <v>0.01</v>
      </c>
      <c r="N257" s="399">
        <v>0.01</v>
      </c>
      <c r="O257" s="399">
        <v>0.01</v>
      </c>
      <c r="P257" s="399">
        <v>0.01</v>
      </c>
      <c r="Q257" s="399">
        <v>0.01</v>
      </c>
      <c r="R257" s="399">
        <v>0.01</v>
      </c>
      <c r="S257" s="399">
        <v>0.01</v>
      </c>
      <c r="T257" s="399">
        <v>0.01</v>
      </c>
      <c r="U257" s="399">
        <v>0.01</v>
      </c>
      <c r="V257" s="402">
        <v>0</v>
      </c>
      <c r="W257" s="391" t="s">
        <v>687</v>
      </c>
      <c r="X257" s="391"/>
      <c r="Y257" s="395"/>
      <c r="Z257" s="395"/>
      <c r="AA257" s="387">
        <f t="shared" si="22"/>
        <v>1980</v>
      </c>
    </row>
    <row r="258" spans="1:27" x14ac:dyDescent="0.2">
      <c r="A258" s="391">
        <f t="shared" si="19"/>
        <v>256</v>
      </c>
      <c r="B258" s="396">
        <v>669</v>
      </c>
      <c r="C258" s="394" t="s">
        <v>221</v>
      </c>
      <c r="D258" s="392">
        <f t="shared" si="20"/>
        <v>5.0000000000000001E-3</v>
      </c>
      <c r="E258" s="392">
        <f t="shared" si="21"/>
        <v>5.0000000000000001E-3</v>
      </c>
      <c r="F258" s="399">
        <v>5.0000000000000001E-3</v>
      </c>
      <c r="G258" s="399">
        <v>5.0000000000000001E-3</v>
      </c>
      <c r="H258" s="399">
        <v>5.0000000000000001E-3</v>
      </c>
      <c r="I258" s="399">
        <v>5.0000000000000001E-3</v>
      </c>
      <c r="J258" s="399">
        <v>5.0000000000000001E-3</v>
      </c>
      <c r="K258" s="399">
        <v>5.0000000000000001E-3</v>
      </c>
      <c r="L258" s="399">
        <v>5.0000000000000001E-3</v>
      </c>
      <c r="M258" s="399">
        <v>5.0000000000000001E-3</v>
      </c>
      <c r="N258" s="399">
        <v>5.0000000000000001E-3</v>
      </c>
      <c r="O258" s="399">
        <v>5.0000000000000001E-3</v>
      </c>
      <c r="P258" s="399">
        <v>5.0000000000000001E-3</v>
      </c>
      <c r="Q258" s="399">
        <v>5.0000000000000001E-3</v>
      </c>
      <c r="R258" s="399">
        <v>5.0000000000000001E-3</v>
      </c>
      <c r="S258" s="399">
        <v>5.0000000000000001E-3</v>
      </c>
      <c r="T258" s="399">
        <v>5.0000000000000001E-3</v>
      </c>
      <c r="U258" s="399">
        <v>5.0000000000000001E-3</v>
      </c>
      <c r="V258" s="402">
        <v>5</v>
      </c>
      <c r="W258" s="391" t="s">
        <v>812</v>
      </c>
      <c r="X258" s="391"/>
      <c r="Y258" s="395"/>
      <c r="Z258" s="395"/>
      <c r="AA258" s="387">
        <f t="shared" si="22"/>
        <v>1980</v>
      </c>
    </row>
    <row r="259" spans="1:27" x14ac:dyDescent="0.2">
      <c r="A259" s="391">
        <f t="shared" si="19"/>
        <v>257</v>
      </c>
      <c r="B259" s="396">
        <v>588</v>
      </c>
      <c r="C259" s="397" t="s">
        <v>504</v>
      </c>
      <c r="D259" s="392">
        <f t="shared" si="20"/>
        <v>1.4999999999999999E-2</v>
      </c>
      <c r="E259" s="392">
        <f t="shared" si="21"/>
        <v>1.4999999999999999E-2</v>
      </c>
      <c r="F259" s="399">
        <v>0.01</v>
      </c>
      <c r="G259" s="399">
        <v>0.01</v>
      </c>
      <c r="H259" s="399">
        <v>0.01</v>
      </c>
      <c r="I259" s="399">
        <v>0.01</v>
      </c>
      <c r="J259" s="399">
        <v>0.01</v>
      </c>
      <c r="K259" s="399">
        <v>0.01</v>
      </c>
      <c r="L259" s="399">
        <v>0.01</v>
      </c>
      <c r="M259" s="399">
        <v>0.01</v>
      </c>
      <c r="N259" s="399">
        <v>0.01</v>
      </c>
      <c r="O259" s="399">
        <v>1.4999999999999999E-2</v>
      </c>
      <c r="P259" s="399">
        <v>1.4999999999999999E-2</v>
      </c>
      <c r="Q259" s="399">
        <v>1.4999999999999999E-2</v>
      </c>
      <c r="R259" s="399">
        <v>1.4999999999999999E-2</v>
      </c>
      <c r="S259" s="399">
        <v>1.4999999999999999E-2</v>
      </c>
      <c r="T259" s="399">
        <v>1.4999999999999999E-2</v>
      </c>
      <c r="U259" s="399">
        <v>1.4999999999999999E-2</v>
      </c>
      <c r="V259" s="402">
        <v>0</v>
      </c>
      <c r="W259" s="402" t="s">
        <v>687</v>
      </c>
      <c r="X259" s="391"/>
      <c r="Y259" s="395"/>
      <c r="Z259" s="395"/>
      <c r="AA259" s="387">
        <f t="shared" si="22"/>
        <v>1980</v>
      </c>
    </row>
    <row r="260" spans="1:27" x14ac:dyDescent="0.2">
      <c r="A260" s="391">
        <f t="shared" si="19"/>
        <v>258</v>
      </c>
      <c r="B260" s="396">
        <v>672</v>
      </c>
      <c r="C260" s="394" t="s">
        <v>1285</v>
      </c>
      <c r="D260" s="392">
        <f t="shared" ref="D260:D323" si="23">HLOOKUP(D$1,F$2:U$405,(A260+1),FALSE)</f>
        <v>0.01</v>
      </c>
      <c r="E260" s="392">
        <f t="shared" ref="E260:E323" si="24">HLOOKUP(D$1+1,F$2:U$405,(A260+1),FALSE)</f>
        <v>0.01</v>
      </c>
      <c r="F260" s="399">
        <v>0.01</v>
      </c>
      <c r="G260" s="399">
        <v>0.01</v>
      </c>
      <c r="H260" s="399">
        <v>0.01</v>
      </c>
      <c r="I260" s="399">
        <v>0.01</v>
      </c>
      <c r="J260" s="399">
        <v>0.01</v>
      </c>
      <c r="K260" s="399">
        <v>0.01</v>
      </c>
      <c r="L260" s="399">
        <v>0.01</v>
      </c>
      <c r="M260" s="399">
        <v>0.01</v>
      </c>
      <c r="N260" s="399">
        <v>0.01</v>
      </c>
      <c r="O260" s="399">
        <v>0.01</v>
      </c>
      <c r="P260" s="399">
        <v>0.01</v>
      </c>
      <c r="Q260" s="399">
        <v>0.01</v>
      </c>
      <c r="R260" s="399">
        <v>0.01</v>
      </c>
      <c r="S260" s="399">
        <v>0.01</v>
      </c>
      <c r="T260" s="399">
        <v>0.01</v>
      </c>
      <c r="U260" s="399">
        <v>0.01</v>
      </c>
      <c r="V260" s="402">
        <v>5</v>
      </c>
      <c r="W260" s="391" t="s">
        <v>812</v>
      </c>
      <c r="X260" s="391"/>
      <c r="Y260" s="395"/>
      <c r="Z260" s="395"/>
      <c r="AA260" s="387">
        <f t="shared" si="22"/>
        <v>1980</v>
      </c>
    </row>
    <row r="261" spans="1:27" x14ac:dyDescent="0.2">
      <c r="A261" s="391">
        <f t="shared" ref="A261:A326" si="25">+A260+1</f>
        <v>259</v>
      </c>
      <c r="B261" s="401">
        <v>680</v>
      </c>
      <c r="C261" s="394" t="s">
        <v>222</v>
      </c>
      <c r="D261" s="392">
        <f t="shared" si="23"/>
        <v>1.4999999999999999E-2</v>
      </c>
      <c r="E261" s="392">
        <f t="shared" si="24"/>
        <v>1.4999999999999999E-2</v>
      </c>
      <c r="F261" s="399">
        <v>1.4999999999999999E-2</v>
      </c>
      <c r="G261" s="399">
        <v>1.4999999999999999E-2</v>
      </c>
      <c r="H261" s="399">
        <v>1.4999999999999999E-2</v>
      </c>
      <c r="I261" s="399">
        <v>1.4999999999999999E-2</v>
      </c>
      <c r="J261" s="399">
        <v>1.4999999999999999E-2</v>
      </c>
      <c r="K261" s="399">
        <v>1.4999999999999999E-2</v>
      </c>
      <c r="L261" s="399">
        <v>1.4999999999999999E-2</v>
      </c>
      <c r="M261" s="399">
        <v>1.4999999999999999E-2</v>
      </c>
      <c r="N261" s="399">
        <v>1.4999999999999999E-2</v>
      </c>
      <c r="O261" s="399">
        <v>1.4999999999999999E-2</v>
      </c>
      <c r="P261" s="399">
        <v>1.4999999999999999E-2</v>
      </c>
      <c r="Q261" s="399">
        <v>1.4999999999999999E-2</v>
      </c>
      <c r="R261" s="399">
        <v>1.4999999999999999E-2</v>
      </c>
      <c r="S261" s="399">
        <v>1.4999999999999999E-2</v>
      </c>
      <c r="T261" s="399">
        <v>1.4999999999999999E-2</v>
      </c>
      <c r="U261" s="399">
        <v>1.4999999999999999E-2</v>
      </c>
      <c r="V261" s="402">
        <v>3</v>
      </c>
      <c r="W261" s="391" t="s">
        <v>812</v>
      </c>
      <c r="X261" s="391"/>
      <c r="Y261" s="395"/>
      <c r="Z261" s="395"/>
      <c r="AA261" s="387">
        <f t="shared" si="22"/>
        <v>1980</v>
      </c>
    </row>
    <row r="262" spans="1:27" s="3" customFormat="1" x14ac:dyDescent="0.2">
      <c r="A262" s="402">
        <f t="shared" si="25"/>
        <v>260</v>
      </c>
      <c r="B262" s="401">
        <v>700</v>
      </c>
      <c r="C262" s="397" t="s">
        <v>1510</v>
      </c>
      <c r="D262" s="399">
        <f t="shared" si="23"/>
        <v>0.02</v>
      </c>
      <c r="E262" s="392">
        <f t="shared" si="24"/>
        <v>0.02</v>
      </c>
      <c r="F262" s="399">
        <v>1.4999999999999999E-2</v>
      </c>
      <c r="G262" s="399">
        <v>1.4999999999999999E-2</v>
      </c>
      <c r="H262" s="399">
        <v>1.4999999999999999E-2</v>
      </c>
      <c r="I262" s="399">
        <v>1.4999999999999999E-2</v>
      </c>
      <c r="J262" s="399">
        <v>1.4999999999999999E-2</v>
      </c>
      <c r="K262" s="399">
        <v>1.4999999999999999E-2</v>
      </c>
      <c r="L262" s="399">
        <v>1.4999999999999999E-2</v>
      </c>
      <c r="M262" s="399">
        <v>1.4999999999999999E-2</v>
      </c>
      <c r="N262" s="399">
        <v>1.4999999999999999E-2</v>
      </c>
      <c r="O262" s="399">
        <v>1.4999999999999999E-2</v>
      </c>
      <c r="P262" s="399">
        <v>1.4999999999999999E-2</v>
      </c>
      <c r="Q262" s="399">
        <v>0.02</v>
      </c>
      <c r="R262" s="399">
        <v>0.02</v>
      </c>
      <c r="S262" s="399">
        <v>0.02</v>
      </c>
      <c r="T262" s="399">
        <v>0.02</v>
      </c>
      <c r="U262" s="399">
        <v>0.02</v>
      </c>
      <c r="V262" s="402">
        <v>5</v>
      </c>
      <c r="W262" s="402" t="s">
        <v>812</v>
      </c>
      <c r="X262" s="402"/>
      <c r="Y262" s="726"/>
      <c r="Z262" s="726"/>
      <c r="AA262" s="387">
        <f t="shared" si="22"/>
        <v>1980</v>
      </c>
    </row>
    <row r="263" spans="1:27" x14ac:dyDescent="0.2">
      <c r="A263" s="391">
        <f t="shared" si="25"/>
        <v>261</v>
      </c>
      <c r="B263" s="401">
        <v>703</v>
      </c>
      <c r="C263" s="394" t="s">
        <v>1115</v>
      </c>
      <c r="D263" s="392">
        <f t="shared" si="23"/>
        <v>2.2499999999999999E-2</v>
      </c>
      <c r="E263" s="392">
        <f t="shared" si="24"/>
        <v>2.2499999999999999E-2</v>
      </c>
      <c r="F263" s="399">
        <v>2.2499999999999999E-2</v>
      </c>
      <c r="G263" s="399">
        <v>2.2499999999999999E-2</v>
      </c>
      <c r="H263" s="399">
        <v>2.2499999999999999E-2</v>
      </c>
      <c r="I263" s="399">
        <v>2.2499999999999999E-2</v>
      </c>
      <c r="J263" s="399">
        <v>2.2499999999999999E-2</v>
      </c>
      <c r="K263" s="399">
        <v>2.2499999999999999E-2</v>
      </c>
      <c r="L263" s="399">
        <v>2.2499999999999999E-2</v>
      </c>
      <c r="M263" s="399">
        <v>2.2499999999999999E-2</v>
      </c>
      <c r="N263" s="399">
        <v>2.2499999999999999E-2</v>
      </c>
      <c r="O263" s="399">
        <v>2.2499999999999999E-2</v>
      </c>
      <c r="P263" s="399">
        <v>2.2499999999999999E-2</v>
      </c>
      <c r="Q263" s="399">
        <v>2.2499999999999999E-2</v>
      </c>
      <c r="R263" s="399">
        <v>2.2499999999999999E-2</v>
      </c>
      <c r="S263" s="399">
        <v>2.2499999999999999E-2</v>
      </c>
      <c r="T263" s="399">
        <v>2.2499999999999999E-2</v>
      </c>
      <c r="U263" s="399">
        <v>2.2499999999999999E-2</v>
      </c>
      <c r="V263" s="402">
        <v>5</v>
      </c>
      <c r="W263" s="391" t="s">
        <v>812</v>
      </c>
      <c r="X263" s="391"/>
      <c r="Y263" s="395"/>
      <c r="Z263" s="395"/>
      <c r="AA263" s="387">
        <f t="shared" si="22"/>
        <v>1980</v>
      </c>
    </row>
    <row r="264" spans="1:27" x14ac:dyDescent="0.2">
      <c r="A264" s="391">
        <f t="shared" si="25"/>
        <v>262</v>
      </c>
      <c r="B264" s="401">
        <v>852</v>
      </c>
      <c r="C264" s="397" t="s">
        <v>1474</v>
      </c>
      <c r="D264" s="392">
        <f t="shared" si="23"/>
        <v>0.02</v>
      </c>
      <c r="E264" s="392">
        <f t="shared" si="24"/>
        <v>0.02</v>
      </c>
      <c r="F264" s="399">
        <v>0</v>
      </c>
      <c r="G264" s="399">
        <v>0</v>
      </c>
      <c r="H264" s="399">
        <v>0</v>
      </c>
      <c r="I264" s="399">
        <v>0</v>
      </c>
      <c r="J264" s="399">
        <v>0</v>
      </c>
      <c r="K264" s="399">
        <v>0</v>
      </c>
      <c r="L264" s="399">
        <v>0</v>
      </c>
      <c r="M264" s="399">
        <v>0</v>
      </c>
      <c r="N264" s="399">
        <v>0</v>
      </c>
      <c r="O264" s="399">
        <v>0</v>
      </c>
      <c r="P264" s="399">
        <v>8.7500000000000008E-3</v>
      </c>
      <c r="Q264" s="399">
        <v>1.7500000000000002E-2</v>
      </c>
      <c r="R264" s="399">
        <v>1.7500000000000002E-2</v>
      </c>
      <c r="S264" s="399">
        <v>1.8749999999999999E-2</v>
      </c>
      <c r="T264" s="399">
        <v>0.02</v>
      </c>
      <c r="U264" s="399">
        <v>0.02</v>
      </c>
      <c r="V264" s="402">
        <v>0</v>
      </c>
      <c r="W264" s="387" t="s">
        <v>687</v>
      </c>
      <c r="X264" s="619" t="s">
        <v>1618</v>
      </c>
      <c r="Y264" s="395"/>
      <c r="Z264" s="395"/>
      <c r="AA264" s="387">
        <f t="shared" si="22"/>
        <v>2013</v>
      </c>
    </row>
    <row r="265" spans="1:27" x14ac:dyDescent="0.2">
      <c r="A265" s="391">
        <f t="shared" si="25"/>
        <v>263</v>
      </c>
      <c r="B265" s="403">
        <v>704</v>
      </c>
      <c r="C265" s="394" t="s">
        <v>223</v>
      </c>
      <c r="D265" s="392">
        <f t="shared" si="23"/>
        <v>1.4999999999999999E-2</v>
      </c>
      <c r="E265" s="392">
        <f t="shared" si="24"/>
        <v>1.4999999999999999E-2</v>
      </c>
      <c r="F265" s="399">
        <v>5.0000000000000001E-3</v>
      </c>
      <c r="G265" s="406">
        <v>0.01</v>
      </c>
      <c r="H265" s="406">
        <v>0.01</v>
      </c>
      <c r="I265" s="406">
        <v>0.01</v>
      </c>
      <c r="J265" s="406">
        <v>0.01</v>
      </c>
      <c r="K265" s="406">
        <v>0.01</v>
      </c>
      <c r="L265" s="406">
        <v>0.01</v>
      </c>
      <c r="M265" s="406">
        <v>0.01</v>
      </c>
      <c r="N265" s="406">
        <v>0.01</v>
      </c>
      <c r="O265" s="406">
        <v>0.01</v>
      </c>
      <c r="P265" s="406">
        <v>0.01</v>
      </c>
      <c r="Q265" s="406">
        <v>0.01</v>
      </c>
      <c r="R265" s="406">
        <v>0.01</v>
      </c>
      <c r="S265" s="406">
        <v>1.2500000000000001E-2</v>
      </c>
      <c r="T265" s="406">
        <v>1.4999999999999999E-2</v>
      </c>
      <c r="U265" s="406">
        <v>1.4999999999999999E-2</v>
      </c>
      <c r="V265" s="693">
        <v>5</v>
      </c>
      <c r="W265" s="391" t="s">
        <v>812</v>
      </c>
      <c r="X265" s="619" t="s">
        <v>1604</v>
      </c>
      <c r="Y265" s="395"/>
      <c r="Z265" s="395"/>
      <c r="AA265" s="387">
        <f t="shared" si="22"/>
        <v>1980</v>
      </c>
    </row>
    <row r="266" spans="1:27" x14ac:dyDescent="0.2">
      <c r="A266" s="391">
        <f t="shared" si="25"/>
        <v>264</v>
      </c>
      <c r="B266" s="403">
        <v>701</v>
      </c>
      <c r="C266" s="394" t="s">
        <v>1374</v>
      </c>
      <c r="D266" s="392">
        <f t="shared" si="23"/>
        <v>7.4999999999999997E-3</v>
      </c>
      <c r="E266" s="392">
        <f t="shared" si="24"/>
        <v>7.4999999999999997E-3</v>
      </c>
      <c r="F266" s="399">
        <v>0</v>
      </c>
      <c r="G266" s="399">
        <v>0</v>
      </c>
      <c r="H266" s="399">
        <v>0</v>
      </c>
      <c r="I266" s="399">
        <v>0</v>
      </c>
      <c r="J266" s="399">
        <v>0</v>
      </c>
      <c r="K266" s="399">
        <v>0</v>
      </c>
      <c r="L266" s="399">
        <v>0</v>
      </c>
      <c r="M266" s="399">
        <v>7.4999999999999997E-3</v>
      </c>
      <c r="N266" s="399">
        <v>7.4999999999999997E-3</v>
      </c>
      <c r="O266" s="399">
        <v>7.4999999999999997E-3</v>
      </c>
      <c r="P266" s="399">
        <v>7.4999999999999997E-3</v>
      </c>
      <c r="Q266" s="399">
        <v>7.4999999999999997E-3</v>
      </c>
      <c r="R266" s="399">
        <v>7.4999999999999997E-3</v>
      </c>
      <c r="S266" s="399">
        <v>7.4999999999999997E-3</v>
      </c>
      <c r="T266" s="399">
        <v>7.4999999999999997E-3</v>
      </c>
      <c r="U266" s="399">
        <v>7.4999999999999997E-3</v>
      </c>
      <c r="V266" s="693">
        <v>5</v>
      </c>
      <c r="W266" s="391" t="s">
        <v>812</v>
      </c>
      <c r="X266" s="391"/>
      <c r="Y266" s="395"/>
      <c r="Z266" s="395"/>
      <c r="AA266" s="387">
        <f t="shared" si="22"/>
        <v>2010</v>
      </c>
    </row>
    <row r="267" spans="1:27" x14ac:dyDescent="0.2">
      <c r="A267" s="391">
        <f t="shared" si="25"/>
        <v>265</v>
      </c>
      <c r="B267" s="396">
        <v>707</v>
      </c>
      <c r="C267" s="394" t="s">
        <v>224</v>
      </c>
      <c r="D267" s="392">
        <f t="shared" si="23"/>
        <v>0.01</v>
      </c>
      <c r="E267" s="392">
        <f t="shared" si="24"/>
        <v>0.01</v>
      </c>
      <c r="F267" s="399">
        <v>0.01</v>
      </c>
      <c r="G267" s="399">
        <v>0.01</v>
      </c>
      <c r="H267" s="399">
        <v>0.01</v>
      </c>
      <c r="I267" s="399">
        <v>0.01</v>
      </c>
      <c r="J267" s="399">
        <v>0.01</v>
      </c>
      <c r="K267" s="399">
        <v>0.01</v>
      </c>
      <c r="L267" s="399">
        <v>0.01</v>
      </c>
      <c r="M267" s="399">
        <v>0.01</v>
      </c>
      <c r="N267" s="399">
        <v>0.01</v>
      </c>
      <c r="O267" s="399">
        <v>0.01</v>
      </c>
      <c r="P267" s="399">
        <v>0.01</v>
      </c>
      <c r="Q267" s="399">
        <v>0.01</v>
      </c>
      <c r="R267" s="399">
        <v>0.01</v>
      </c>
      <c r="S267" s="399">
        <v>0.01</v>
      </c>
      <c r="T267" s="399">
        <v>0.01</v>
      </c>
      <c r="U267" s="399">
        <v>0.01</v>
      </c>
      <c r="V267" s="402">
        <v>5</v>
      </c>
      <c r="W267" s="391" t="s">
        <v>812</v>
      </c>
      <c r="X267" s="391"/>
      <c r="Y267" s="395"/>
      <c r="Z267" s="395"/>
      <c r="AA267" s="387">
        <f t="shared" ref="AA267:AA332" si="26">_xlfn.IFNA(MATCH(0,F267:U267,1),-23) + F$2 -1</f>
        <v>1980</v>
      </c>
    </row>
    <row r="268" spans="1:27" x14ac:dyDescent="0.2">
      <c r="A268" s="391">
        <f t="shared" si="25"/>
        <v>266</v>
      </c>
      <c r="B268" s="401">
        <v>712</v>
      </c>
      <c r="C268" s="394" t="s">
        <v>225</v>
      </c>
      <c r="D268" s="392">
        <f t="shared" si="23"/>
        <v>0.01</v>
      </c>
      <c r="E268" s="392">
        <f t="shared" si="24"/>
        <v>0.01</v>
      </c>
      <c r="F268" s="399">
        <v>0.01</v>
      </c>
      <c r="G268" s="399">
        <v>0.01</v>
      </c>
      <c r="H268" s="399">
        <v>0.01</v>
      </c>
      <c r="I268" s="399">
        <v>0.01</v>
      </c>
      <c r="J268" s="399">
        <v>0.01</v>
      </c>
      <c r="K268" s="399">
        <v>0.01</v>
      </c>
      <c r="L268" s="399">
        <v>0.01</v>
      </c>
      <c r="M268" s="399">
        <v>0.01</v>
      </c>
      <c r="N268" s="399">
        <v>0.01</v>
      </c>
      <c r="O268" s="399">
        <v>0.01</v>
      </c>
      <c r="P268" s="399">
        <v>0.01</v>
      </c>
      <c r="Q268" s="399">
        <v>0.01</v>
      </c>
      <c r="R268" s="399">
        <v>0.01</v>
      </c>
      <c r="S268" s="399">
        <v>0.01</v>
      </c>
      <c r="T268" s="399">
        <v>0.01</v>
      </c>
      <c r="U268" s="399">
        <v>0.01</v>
      </c>
      <c r="V268" s="402">
        <v>5</v>
      </c>
      <c r="W268" s="391" t="s">
        <v>812</v>
      </c>
      <c r="X268" s="391"/>
      <c r="Y268" s="395"/>
      <c r="Z268" s="395"/>
      <c r="AA268" s="387">
        <f t="shared" si="26"/>
        <v>1980</v>
      </c>
    </row>
    <row r="269" spans="1:27" x14ac:dyDescent="0.2">
      <c r="A269" s="391">
        <f t="shared" si="25"/>
        <v>267</v>
      </c>
      <c r="B269" s="396">
        <v>710</v>
      </c>
      <c r="C269" s="397" t="s">
        <v>226</v>
      </c>
      <c r="D269" s="392">
        <f t="shared" si="23"/>
        <v>1.2500000000000001E-2</v>
      </c>
      <c r="E269" s="392">
        <f t="shared" si="24"/>
        <v>1.2500000000000001E-2</v>
      </c>
      <c r="F269" s="399">
        <v>0.01</v>
      </c>
      <c r="G269" s="399">
        <v>0.01</v>
      </c>
      <c r="H269" s="399">
        <v>0.01</v>
      </c>
      <c r="I269" s="399">
        <v>0.01</v>
      </c>
      <c r="J269" s="399">
        <v>0.01</v>
      </c>
      <c r="K269" s="399">
        <v>0.01</v>
      </c>
      <c r="L269" s="399">
        <v>0.01</v>
      </c>
      <c r="M269" s="399">
        <v>0.01</v>
      </c>
      <c r="N269" s="399">
        <v>0.01</v>
      </c>
      <c r="O269" s="399">
        <v>0.01</v>
      </c>
      <c r="P269" s="399">
        <v>0.01</v>
      </c>
      <c r="Q269" s="399">
        <v>1.2500000000000001E-2</v>
      </c>
      <c r="R269" s="399">
        <v>1.2500000000000001E-2</v>
      </c>
      <c r="S269" s="399">
        <v>1.2500000000000001E-2</v>
      </c>
      <c r="T269" s="399">
        <v>1.2500000000000001E-2</v>
      </c>
      <c r="U269" s="399">
        <v>1.2500000000000001E-2</v>
      </c>
      <c r="V269" s="402">
        <v>0</v>
      </c>
      <c r="W269" s="391" t="s">
        <v>687</v>
      </c>
      <c r="X269" s="391"/>
      <c r="Y269" s="395"/>
      <c r="Z269" s="395"/>
      <c r="AA269" s="387">
        <f t="shared" si="26"/>
        <v>1980</v>
      </c>
    </row>
    <row r="270" spans="1:27" x14ac:dyDescent="0.2">
      <c r="A270" s="391">
        <f t="shared" si="25"/>
        <v>268</v>
      </c>
      <c r="B270" s="396">
        <v>711</v>
      </c>
      <c r="C270" s="394" t="s">
        <v>1375</v>
      </c>
      <c r="D270" s="392">
        <f t="shared" si="23"/>
        <v>0.01</v>
      </c>
      <c r="E270" s="392">
        <f t="shared" si="24"/>
        <v>0.01</v>
      </c>
      <c r="F270" s="510">
        <v>5.0000000000000001E-3</v>
      </c>
      <c r="G270" s="510">
        <v>5.0000000000000001E-3</v>
      </c>
      <c r="H270" s="510">
        <v>5.0000000000000001E-3</v>
      </c>
      <c r="I270" s="510">
        <v>5.0000000000000001E-3</v>
      </c>
      <c r="J270" s="510">
        <v>0.01</v>
      </c>
      <c r="K270" s="510">
        <v>0.01</v>
      </c>
      <c r="L270" s="399">
        <v>0.01</v>
      </c>
      <c r="M270" s="399">
        <v>0.01</v>
      </c>
      <c r="N270" s="399">
        <v>0.01</v>
      </c>
      <c r="O270" s="399">
        <v>0.01</v>
      </c>
      <c r="P270" s="399">
        <v>0.01</v>
      </c>
      <c r="Q270" s="399">
        <v>0.01</v>
      </c>
      <c r="R270" s="399">
        <v>0.01</v>
      </c>
      <c r="S270" s="399">
        <v>0.01</v>
      </c>
      <c r="T270" s="399">
        <v>0.01</v>
      </c>
      <c r="U270" s="399">
        <v>0.01</v>
      </c>
      <c r="V270" s="402">
        <v>5</v>
      </c>
      <c r="W270" s="391" t="s">
        <v>812</v>
      </c>
      <c r="X270" s="391"/>
      <c r="Y270" s="395"/>
      <c r="Z270" s="395"/>
      <c r="AA270" s="387">
        <f t="shared" si="26"/>
        <v>1980</v>
      </c>
    </row>
    <row r="271" spans="1:27" x14ac:dyDescent="0.2">
      <c r="A271" s="391">
        <f t="shared" si="25"/>
        <v>269</v>
      </c>
      <c r="B271" s="396">
        <v>716</v>
      </c>
      <c r="C271" s="397" t="s">
        <v>1475</v>
      </c>
      <c r="D271" s="392">
        <f t="shared" si="23"/>
        <v>0.02</v>
      </c>
      <c r="E271" s="392">
        <f t="shared" si="24"/>
        <v>0.02</v>
      </c>
      <c r="F271" s="510">
        <v>0</v>
      </c>
      <c r="G271" s="510">
        <v>0</v>
      </c>
      <c r="H271" s="510">
        <v>0</v>
      </c>
      <c r="I271" s="510">
        <v>0</v>
      </c>
      <c r="J271" s="510">
        <v>0</v>
      </c>
      <c r="K271" s="510">
        <v>0</v>
      </c>
      <c r="L271" s="399">
        <v>0</v>
      </c>
      <c r="M271" s="399">
        <v>0</v>
      </c>
      <c r="N271" s="399">
        <v>0</v>
      </c>
      <c r="O271" s="399">
        <v>0</v>
      </c>
      <c r="P271" s="399">
        <v>0</v>
      </c>
      <c r="Q271" s="399">
        <v>0.02</v>
      </c>
      <c r="R271" s="399">
        <v>0.02</v>
      </c>
      <c r="S271" s="399">
        <v>0.02</v>
      </c>
      <c r="T271" s="399">
        <v>0.02</v>
      </c>
      <c r="U271" s="399">
        <v>0.02</v>
      </c>
      <c r="V271" s="402">
        <v>0</v>
      </c>
      <c r="W271" s="391" t="s">
        <v>687</v>
      </c>
      <c r="X271" s="391"/>
      <c r="Y271" s="395"/>
      <c r="Z271" s="395"/>
      <c r="AA271" s="387">
        <f t="shared" si="26"/>
        <v>2014</v>
      </c>
    </row>
    <row r="272" spans="1:27" x14ac:dyDescent="0.2">
      <c r="A272" s="402">
        <f t="shared" si="25"/>
        <v>270</v>
      </c>
      <c r="B272" s="396">
        <v>713</v>
      </c>
      <c r="C272" s="738" t="s">
        <v>1619</v>
      </c>
      <c r="D272" s="392">
        <f t="shared" si="23"/>
        <v>0.02</v>
      </c>
      <c r="E272" s="392">
        <f t="shared" si="24"/>
        <v>0.02</v>
      </c>
      <c r="F272" s="399">
        <v>1.4999999999999999E-2</v>
      </c>
      <c r="G272" s="399">
        <v>1.4999999999999999E-2</v>
      </c>
      <c r="H272" s="399">
        <v>1.4999999999999999E-2</v>
      </c>
      <c r="I272" s="399">
        <v>0.02</v>
      </c>
      <c r="J272" s="399">
        <v>0.02</v>
      </c>
      <c r="K272" s="399">
        <v>0.02</v>
      </c>
      <c r="L272" s="399">
        <v>0.02</v>
      </c>
      <c r="M272" s="399">
        <v>0.02</v>
      </c>
      <c r="N272" s="399">
        <v>0.02</v>
      </c>
      <c r="O272" s="399">
        <v>0.02</v>
      </c>
      <c r="P272" s="399">
        <v>0.02</v>
      </c>
      <c r="Q272" s="399">
        <v>0.02</v>
      </c>
      <c r="R272" s="399">
        <v>0.02</v>
      </c>
      <c r="S272" s="399">
        <v>0.02</v>
      </c>
      <c r="T272" s="399">
        <v>0.02</v>
      </c>
      <c r="U272" s="399">
        <v>0.02</v>
      </c>
      <c r="V272" s="402">
        <v>5</v>
      </c>
      <c r="W272" s="391" t="s">
        <v>812</v>
      </c>
      <c r="X272" s="391"/>
      <c r="Y272" s="395"/>
      <c r="Z272" s="395"/>
      <c r="AA272" s="387">
        <f t="shared" si="26"/>
        <v>1980</v>
      </c>
    </row>
    <row r="273" spans="1:27" x14ac:dyDescent="0.2">
      <c r="A273" s="391">
        <f t="shared" si="25"/>
        <v>271</v>
      </c>
      <c r="B273" s="396">
        <v>720</v>
      </c>
      <c r="C273" s="394" t="s">
        <v>227</v>
      </c>
      <c r="D273" s="392">
        <f t="shared" si="23"/>
        <v>2.5000000000000001E-2</v>
      </c>
      <c r="E273" s="392">
        <f t="shared" si="24"/>
        <v>2.5000000000000001E-2</v>
      </c>
      <c r="F273" s="399">
        <v>0.02</v>
      </c>
      <c r="G273" s="399">
        <v>0.02</v>
      </c>
      <c r="H273" s="399">
        <v>0.02</v>
      </c>
      <c r="I273" s="399">
        <v>0.02</v>
      </c>
      <c r="J273" s="399">
        <v>0.02</v>
      </c>
      <c r="K273" s="399">
        <v>0.02</v>
      </c>
      <c r="L273" s="399">
        <v>0.02</v>
      </c>
      <c r="M273" s="399">
        <v>0.02</v>
      </c>
      <c r="N273" s="399">
        <v>0.02</v>
      </c>
      <c r="O273" s="399">
        <v>0.02</v>
      </c>
      <c r="P273" s="399">
        <v>0.02</v>
      </c>
      <c r="Q273" s="399">
        <v>0.02</v>
      </c>
      <c r="R273" s="399">
        <v>0.02</v>
      </c>
      <c r="S273" s="399">
        <v>2.5000000000000001E-2</v>
      </c>
      <c r="T273" s="399">
        <v>2.5000000000000001E-2</v>
      </c>
      <c r="U273" s="399">
        <v>2.5000000000000001E-2</v>
      </c>
      <c r="V273" s="402">
        <v>5</v>
      </c>
      <c r="W273" s="391" t="s">
        <v>812</v>
      </c>
      <c r="X273" s="391"/>
      <c r="Y273" s="395"/>
      <c r="Z273" s="395"/>
      <c r="AA273" s="387">
        <f t="shared" si="26"/>
        <v>1980</v>
      </c>
    </row>
    <row r="274" spans="1:27" x14ac:dyDescent="0.2">
      <c r="A274" s="391">
        <f t="shared" si="25"/>
        <v>272</v>
      </c>
      <c r="B274" s="396">
        <v>750</v>
      </c>
      <c r="C274" s="394" t="s">
        <v>228</v>
      </c>
      <c r="D274" s="392">
        <f t="shared" si="23"/>
        <v>2.2499999999999999E-2</v>
      </c>
      <c r="E274" s="392">
        <f t="shared" si="24"/>
        <v>2.2499999999999999E-2</v>
      </c>
      <c r="F274" s="399">
        <v>1.7500000000000002E-2</v>
      </c>
      <c r="G274" s="399">
        <v>1.7500000000000002E-2</v>
      </c>
      <c r="H274" s="399">
        <v>1.7500000000000002E-2</v>
      </c>
      <c r="I274" s="399">
        <v>1.7500000000000002E-2</v>
      </c>
      <c r="J274" s="399">
        <v>1.7500000000000002E-2</v>
      </c>
      <c r="K274" s="399">
        <v>1.7500000000000002E-2</v>
      </c>
      <c r="L274" s="399">
        <v>1.7500000000000002E-2</v>
      </c>
      <c r="M274" s="399">
        <v>1.7500000000000002E-2</v>
      </c>
      <c r="N274" s="692">
        <v>1.8749999999999999E-2</v>
      </c>
      <c r="O274" s="406">
        <v>2.2499999999999999E-2</v>
      </c>
      <c r="P274" s="406">
        <v>2.2499999999999999E-2</v>
      </c>
      <c r="Q274" s="406">
        <v>2.2499999999999999E-2</v>
      </c>
      <c r="R274" s="406">
        <v>2.2499999999999999E-2</v>
      </c>
      <c r="S274" s="406">
        <v>2.2499999999999999E-2</v>
      </c>
      <c r="T274" s="406">
        <v>2.2499999999999999E-2</v>
      </c>
      <c r="U274" s="406">
        <v>2.2499999999999999E-2</v>
      </c>
      <c r="V274" s="402">
        <v>5</v>
      </c>
      <c r="W274" s="391" t="s">
        <v>812</v>
      </c>
      <c r="X274" s="596" t="s">
        <v>1481</v>
      </c>
      <c r="Y274" s="395"/>
      <c r="Z274" s="395"/>
      <c r="AA274" s="387">
        <f t="shared" si="26"/>
        <v>1980</v>
      </c>
    </row>
    <row r="275" spans="1:27" ht="12.75" customHeight="1" x14ac:dyDescent="0.2">
      <c r="A275" s="391">
        <f t="shared" si="25"/>
        <v>273</v>
      </c>
      <c r="B275" s="401">
        <v>749</v>
      </c>
      <c r="C275" s="394" t="s">
        <v>229</v>
      </c>
      <c r="D275" s="392">
        <f t="shared" si="23"/>
        <v>0.02</v>
      </c>
      <c r="E275" s="392">
        <f t="shared" si="24"/>
        <v>0.02</v>
      </c>
      <c r="F275" s="399">
        <v>0.02</v>
      </c>
      <c r="G275" s="399">
        <v>0.02</v>
      </c>
      <c r="H275" s="399">
        <v>0.02</v>
      </c>
      <c r="I275" s="399">
        <v>0.02</v>
      </c>
      <c r="J275" s="399">
        <v>0.02</v>
      </c>
      <c r="K275" s="399">
        <v>0.02</v>
      </c>
      <c r="L275" s="399">
        <v>0.02</v>
      </c>
      <c r="M275" s="399">
        <v>0.02</v>
      </c>
      <c r="N275" s="399">
        <v>0.02</v>
      </c>
      <c r="O275" s="399">
        <v>0.02</v>
      </c>
      <c r="P275" s="399">
        <v>0.02</v>
      </c>
      <c r="Q275" s="399">
        <v>0.02</v>
      </c>
      <c r="R275" s="399">
        <v>0.02</v>
      </c>
      <c r="S275" s="399">
        <v>0.02</v>
      </c>
      <c r="T275" s="399">
        <v>0.02</v>
      </c>
      <c r="U275" s="399">
        <v>0.02</v>
      </c>
      <c r="V275" s="402">
        <v>0</v>
      </c>
      <c r="W275" s="391" t="s">
        <v>687</v>
      </c>
      <c r="X275" s="391"/>
      <c r="Y275" s="400" t="s">
        <v>16</v>
      </c>
      <c r="Z275" s="395"/>
      <c r="AA275" s="387">
        <f t="shared" si="26"/>
        <v>1980</v>
      </c>
    </row>
    <row r="276" spans="1:27" x14ac:dyDescent="0.2">
      <c r="A276" s="391">
        <f t="shared" si="25"/>
        <v>274</v>
      </c>
      <c r="B276" s="396">
        <v>751</v>
      </c>
      <c r="C276" s="397" t="s">
        <v>230</v>
      </c>
      <c r="D276" s="392">
        <f t="shared" si="23"/>
        <v>0.02</v>
      </c>
      <c r="E276" s="392">
        <f t="shared" si="24"/>
        <v>0.02</v>
      </c>
      <c r="F276" s="398">
        <v>1.2500000000000001E-2</v>
      </c>
      <c r="G276" s="399">
        <v>1.2500000000000001E-2</v>
      </c>
      <c r="H276" s="399">
        <v>1.4999999999999999E-2</v>
      </c>
      <c r="I276" s="399">
        <v>1.4999999999999999E-2</v>
      </c>
      <c r="J276" s="399">
        <v>1.4999999999999999E-2</v>
      </c>
      <c r="K276" s="399">
        <v>1.4999999999999999E-2</v>
      </c>
      <c r="L276" s="399">
        <v>1.4999999999999999E-2</v>
      </c>
      <c r="M276" s="399">
        <v>1.4999999999999999E-2</v>
      </c>
      <c r="N276" s="399">
        <v>1.4999999999999999E-2</v>
      </c>
      <c r="O276" s="399">
        <v>1.4999999999999999E-2</v>
      </c>
      <c r="P276" s="399">
        <v>1.7500000000000002E-2</v>
      </c>
      <c r="Q276" s="399">
        <v>0.02</v>
      </c>
      <c r="R276" s="399">
        <v>0.02</v>
      </c>
      <c r="S276" s="399">
        <v>0.02</v>
      </c>
      <c r="T276" s="399">
        <v>0.02</v>
      </c>
      <c r="U276" s="399">
        <v>0.02</v>
      </c>
      <c r="V276" s="402">
        <v>0</v>
      </c>
      <c r="W276" s="391" t="s">
        <v>687</v>
      </c>
      <c r="X276" s="619" t="s">
        <v>1446</v>
      </c>
      <c r="Y276" s="391" t="s">
        <v>17</v>
      </c>
      <c r="Z276" s="395"/>
      <c r="AA276" s="387">
        <f t="shared" si="26"/>
        <v>1980</v>
      </c>
    </row>
    <row r="277" spans="1:27" x14ac:dyDescent="0.2">
      <c r="A277" s="391">
        <f t="shared" si="25"/>
        <v>275</v>
      </c>
      <c r="B277" s="396">
        <v>752</v>
      </c>
      <c r="C277" s="394" t="s">
        <v>231</v>
      </c>
      <c r="D277" s="392">
        <f t="shared" si="23"/>
        <v>0.02</v>
      </c>
      <c r="E277" s="392">
        <f t="shared" si="24"/>
        <v>0.02</v>
      </c>
      <c r="F277" s="399">
        <v>1.4999999999999999E-2</v>
      </c>
      <c r="G277" s="399">
        <v>1.4999999999999999E-2</v>
      </c>
      <c r="H277" s="399">
        <v>1.4999999999999999E-2</v>
      </c>
      <c r="I277" s="399">
        <v>1.4999999999999999E-2</v>
      </c>
      <c r="J277" s="399">
        <v>1.4999999999999999E-2</v>
      </c>
      <c r="K277" s="399">
        <v>0.02</v>
      </c>
      <c r="L277" s="399">
        <v>0.02</v>
      </c>
      <c r="M277" s="399">
        <v>0.02</v>
      </c>
      <c r="N277" s="399">
        <v>0.02</v>
      </c>
      <c r="O277" s="399">
        <v>0.02</v>
      </c>
      <c r="P277" s="399">
        <v>0.02</v>
      </c>
      <c r="Q277" s="399">
        <v>0.02</v>
      </c>
      <c r="R277" s="399">
        <v>0.02</v>
      </c>
      <c r="S277" s="399">
        <v>0.02</v>
      </c>
      <c r="T277" s="399">
        <v>0.02</v>
      </c>
      <c r="U277" s="399">
        <v>0.02</v>
      </c>
      <c r="V277" s="402">
        <v>5</v>
      </c>
      <c r="W277" s="391" t="s">
        <v>812</v>
      </c>
      <c r="X277" s="400"/>
      <c r="Y277" s="391" t="s">
        <v>17</v>
      </c>
      <c r="Z277" s="395"/>
      <c r="AA277" s="387">
        <f t="shared" si="26"/>
        <v>1980</v>
      </c>
    </row>
    <row r="278" spans="1:27" x14ac:dyDescent="0.2">
      <c r="A278" s="391">
        <f t="shared" si="25"/>
        <v>276</v>
      </c>
      <c r="B278" s="407">
        <v>748</v>
      </c>
      <c r="C278" s="394" t="s">
        <v>232</v>
      </c>
      <c r="D278" s="392">
        <f t="shared" si="23"/>
        <v>0.01</v>
      </c>
      <c r="E278" s="392">
        <f t="shared" si="24"/>
        <v>0.01</v>
      </c>
      <c r="F278" s="399">
        <v>0.01</v>
      </c>
      <c r="G278" s="399">
        <v>0.01</v>
      </c>
      <c r="H278" s="399">
        <v>0.01</v>
      </c>
      <c r="I278" s="399">
        <v>0.01</v>
      </c>
      <c r="J278" s="399">
        <v>0.01</v>
      </c>
      <c r="K278" s="399">
        <v>0.01</v>
      </c>
      <c r="L278" s="399">
        <v>0.01</v>
      </c>
      <c r="M278" s="399">
        <v>0.01</v>
      </c>
      <c r="N278" s="399">
        <v>0.01</v>
      </c>
      <c r="O278" s="399">
        <v>0.01</v>
      </c>
      <c r="P278" s="399">
        <v>0.01</v>
      </c>
      <c r="Q278" s="399">
        <v>0.01</v>
      </c>
      <c r="R278" s="399">
        <v>0.01</v>
      </c>
      <c r="S278" s="399">
        <v>0.01</v>
      </c>
      <c r="T278" s="399">
        <v>0.01</v>
      </c>
      <c r="U278" s="399">
        <v>0.01</v>
      </c>
      <c r="V278" s="402">
        <v>5</v>
      </c>
      <c r="W278" s="391" t="s">
        <v>812</v>
      </c>
      <c r="X278" s="391"/>
      <c r="Y278" s="391" t="s">
        <v>17</v>
      </c>
      <c r="Z278" s="395"/>
      <c r="AA278" s="387">
        <f t="shared" si="26"/>
        <v>1980</v>
      </c>
    </row>
    <row r="279" spans="1:27" x14ac:dyDescent="0.2">
      <c r="A279" s="391">
        <f t="shared" si="25"/>
        <v>277</v>
      </c>
      <c r="B279" s="396">
        <v>756</v>
      </c>
      <c r="C279" s="394" t="s">
        <v>233</v>
      </c>
      <c r="D279" s="392">
        <f t="shared" si="23"/>
        <v>0.02</v>
      </c>
      <c r="E279" s="392">
        <f t="shared" si="24"/>
        <v>0.02</v>
      </c>
      <c r="F279" s="399">
        <v>0.02</v>
      </c>
      <c r="G279" s="399">
        <v>0.02</v>
      </c>
      <c r="H279" s="399">
        <v>0.02</v>
      </c>
      <c r="I279" s="399">
        <v>0.02</v>
      </c>
      <c r="J279" s="399">
        <v>0.02</v>
      </c>
      <c r="K279" s="399">
        <v>0.02</v>
      </c>
      <c r="L279" s="399">
        <v>0.02</v>
      </c>
      <c r="M279" s="399">
        <v>0.02</v>
      </c>
      <c r="N279" s="399">
        <v>0.02</v>
      </c>
      <c r="O279" s="399">
        <v>0.02</v>
      </c>
      <c r="P279" s="399">
        <v>0.02</v>
      </c>
      <c r="Q279" s="399">
        <v>0.02</v>
      </c>
      <c r="R279" s="399">
        <v>0.02</v>
      </c>
      <c r="S279" s="399">
        <v>0.02</v>
      </c>
      <c r="T279" s="399">
        <v>0.02</v>
      </c>
      <c r="U279" s="399">
        <v>0.02</v>
      </c>
      <c r="V279" s="402">
        <v>5</v>
      </c>
      <c r="W279" s="391" t="s">
        <v>812</v>
      </c>
      <c r="X279" s="391"/>
      <c r="Y279" s="391" t="s">
        <v>17</v>
      </c>
      <c r="Z279" s="395"/>
      <c r="AA279" s="387">
        <f t="shared" si="26"/>
        <v>1980</v>
      </c>
    </row>
    <row r="280" spans="1:27" x14ac:dyDescent="0.2">
      <c r="A280" s="391">
        <f t="shared" si="25"/>
        <v>278</v>
      </c>
      <c r="B280" s="396">
        <v>757</v>
      </c>
      <c r="C280" s="394" t="s">
        <v>1286</v>
      </c>
      <c r="D280" s="392">
        <f t="shared" si="23"/>
        <v>1.2500000000000001E-2</v>
      </c>
      <c r="E280" s="392">
        <f t="shared" si="24"/>
        <v>1.2500000000000001E-2</v>
      </c>
      <c r="F280" s="399">
        <v>1.2500000000000001E-2</v>
      </c>
      <c r="G280" s="399">
        <v>1.2500000000000001E-2</v>
      </c>
      <c r="H280" s="399">
        <v>1.2500000000000001E-2</v>
      </c>
      <c r="I280" s="399">
        <v>1.2500000000000001E-2</v>
      </c>
      <c r="J280" s="399">
        <v>1.2500000000000001E-2</v>
      </c>
      <c r="K280" s="399">
        <v>1.2500000000000001E-2</v>
      </c>
      <c r="L280" s="399">
        <v>1.2500000000000001E-2</v>
      </c>
      <c r="M280" s="399">
        <v>1.2500000000000001E-2</v>
      </c>
      <c r="N280" s="399">
        <v>1.2500000000000001E-2</v>
      </c>
      <c r="O280" s="399">
        <v>1.2500000000000001E-2</v>
      </c>
      <c r="P280" s="399">
        <v>1.2500000000000001E-2</v>
      </c>
      <c r="Q280" s="399">
        <v>1.2500000000000001E-2</v>
      </c>
      <c r="R280" s="399">
        <v>1.2500000000000001E-2</v>
      </c>
      <c r="S280" s="399">
        <v>1.2500000000000001E-2</v>
      </c>
      <c r="T280" s="399">
        <v>1.2500000000000001E-2</v>
      </c>
      <c r="U280" s="399">
        <v>1.2500000000000001E-2</v>
      </c>
      <c r="V280" s="404">
        <v>0</v>
      </c>
      <c r="W280" s="404" t="s">
        <v>812</v>
      </c>
      <c r="X280" s="408"/>
      <c r="Y280" s="391"/>
      <c r="Z280" s="395"/>
      <c r="AA280" s="387">
        <f t="shared" si="26"/>
        <v>1980</v>
      </c>
    </row>
    <row r="281" spans="1:27" s="3" customFormat="1" x14ac:dyDescent="0.2">
      <c r="A281" s="402">
        <f t="shared" si="25"/>
        <v>279</v>
      </c>
      <c r="B281" s="401">
        <v>863</v>
      </c>
      <c r="C281" s="739" t="s">
        <v>1599</v>
      </c>
      <c r="D281" s="399">
        <f t="shared" si="23"/>
        <v>0.01</v>
      </c>
      <c r="E281" s="399">
        <f t="shared" si="24"/>
        <v>0.01</v>
      </c>
      <c r="F281" s="399">
        <v>0</v>
      </c>
      <c r="G281" s="399">
        <v>0</v>
      </c>
      <c r="H281" s="399">
        <v>0</v>
      </c>
      <c r="I281" s="399">
        <v>0</v>
      </c>
      <c r="J281" s="399">
        <v>0</v>
      </c>
      <c r="K281" s="399">
        <v>0</v>
      </c>
      <c r="L281" s="399">
        <v>0</v>
      </c>
      <c r="M281" s="399">
        <v>0</v>
      </c>
      <c r="N281" s="399">
        <v>0</v>
      </c>
      <c r="O281" s="399">
        <v>0</v>
      </c>
      <c r="P281" s="399">
        <v>0</v>
      </c>
      <c r="Q281" s="399">
        <v>0</v>
      </c>
      <c r="R281" s="399">
        <v>0</v>
      </c>
      <c r="S281" s="399">
        <v>0.01</v>
      </c>
      <c r="T281" s="399">
        <v>0.01</v>
      </c>
      <c r="U281" s="399">
        <v>0.01</v>
      </c>
      <c r="V281" s="404">
        <v>5</v>
      </c>
      <c r="W281" s="404" t="s">
        <v>812</v>
      </c>
      <c r="X281" s="408"/>
      <c r="Y281" s="402"/>
      <c r="Z281" s="726"/>
      <c r="AA281" s="387">
        <f t="shared" si="26"/>
        <v>2016</v>
      </c>
    </row>
    <row r="282" spans="1:27" x14ac:dyDescent="0.2">
      <c r="A282" s="391">
        <f t="shared" si="25"/>
        <v>280</v>
      </c>
      <c r="B282" s="396">
        <v>760</v>
      </c>
      <c r="C282" s="397" t="s">
        <v>1439</v>
      </c>
      <c r="D282" s="399">
        <f t="shared" si="23"/>
        <v>0.02</v>
      </c>
      <c r="E282" s="392">
        <f t="shared" si="24"/>
        <v>0.02</v>
      </c>
      <c r="F282" s="399">
        <v>0.02</v>
      </c>
      <c r="G282" s="399">
        <v>0.02</v>
      </c>
      <c r="H282" s="399">
        <v>0.02</v>
      </c>
      <c r="I282" s="399">
        <v>0.02</v>
      </c>
      <c r="J282" s="399">
        <v>0.02</v>
      </c>
      <c r="K282" s="399">
        <v>0.02</v>
      </c>
      <c r="L282" s="399">
        <v>0.02</v>
      </c>
      <c r="M282" s="399">
        <v>0.02</v>
      </c>
      <c r="N282" s="399">
        <v>0.02</v>
      </c>
      <c r="O282" s="399">
        <v>0.02</v>
      </c>
      <c r="P282" s="399">
        <v>0.02</v>
      </c>
      <c r="Q282" s="399">
        <v>0.02</v>
      </c>
      <c r="R282" s="399">
        <v>0.02</v>
      </c>
      <c r="S282" s="399">
        <v>0.02</v>
      </c>
      <c r="T282" s="399">
        <v>0.02</v>
      </c>
      <c r="U282" s="399">
        <v>0.02</v>
      </c>
      <c r="V282" s="404">
        <v>5</v>
      </c>
      <c r="W282" s="404" t="s">
        <v>812</v>
      </c>
      <c r="X282" s="408"/>
      <c r="Y282" s="391"/>
      <c r="Z282" s="395"/>
      <c r="AA282" s="387">
        <f t="shared" si="26"/>
        <v>1980</v>
      </c>
    </row>
    <row r="283" spans="1:27" x14ac:dyDescent="0.2">
      <c r="A283" s="391">
        <f t="shared" si="25"/>
        <v>281</v>
      </c>
      <c r="B283" s="396">
        <v>763</v>
      </c>
      <c r="C283" s="394" t="s">
        <v>1318</v>
      </c>
      <c r="D283" s="392">
        <f t="shared" si="23"/>
        <v>1.2500000000000001E-2</v>
      </c>
      <c r="E283" s="392">
        <f t="shared" si="24"/>
        <v>1.2500000000000001E-2</v>
      </c>
      <c r="F283" s="399">
        <v>0.01</v>
      </c>
      <c r="G283" s="399">
        <v>0.01</v>
      </c>
      <c r="H283" s="399">
        <v>0.01</v>
      </c>
      <c r="I283" s="399">
        <v>0.01</v>
      </c>
      <c r="J283" s="399">
        <v>0.01</v>
      </c>
      <c r="K283" s="399">
        <v>0.01</v>
      </c>
      <c r="L283" s="399">
        <v>0.01</v>
      </c>
      <c r="M283" s="399">
        <v>0.01</v>
      </c>
      <c r="N283" s="399">
        <v>0.01</v>
      </c>
      <c r="O283" s="399">
        <v>0.01</v>
      </c>
      <c r="P283" s="399">
        <v>0.01</v>
      </c>
      <c r="Q283" s="399">
        <v>0.01</v>
      </c>
      <c r="R283" s="399">
        <v>0.01</v>
      </c>
      <c r="S283" s="399">
        <v>0.01</v>
      </c>
      <c r="T283" s="399">
        <v>1.2500000000000001E-2</v>
      </c>
      <c r="U283" s="399">
        <v>1.2500000000000001E-2</v>
      </c>
      <c r="V283" s="402">
        <v>5</v>
      </c>
      <c r="W283" s="391" t="s">
        <v>812</v>
      </c>
      <c r="X283" s="408"/>
      <c r="Y283" s="391"/>
      <c r="Z283" s="395"/>
      <c r="AA283" s="387">
        <f t="shared" si="26"/>
        <v>1980</v>
      </c>
    </row>
    <row r="284" spans="1:27" x14ac:dyDescent="0.2">
      <c r="A284" s="391">
        <f t="shared" si="25"/>
        <v>282</v>
      </c>
      <c r="B284" s="396">
        <v>770</v>
      </c>
      <c r="C284" s="394" t="s">
        <v>234</v>
      </c>
      <c r="D284" s="392">
        <f t="shared" si="23"/>
        <v>0.02</v>
      </c>
      <c r="E284" s="392">
        <f t="shared" si="24"/>
        <v>0.02</v>
      </c>
      <c r="F284" s="398">
        <v>1.4999999999999999E-2</v>
      </c>
      <c r="G284" s="399">
        <v>1.4999999999999999E-2</v>
      </c>
      <c r="H284" s="399">
        <v>0.02</v>
      </c>
      <c r="I284" s="399">
        <v>0.02</v>
      </c>
      <c r="J284" s="399">
        <v>0.02</v>
      </c>
      <c r="K284" s="399">
        <v>0.02</v>
      </c>
      <c r="L284" s="399">
        <v>0.02</v>
      </c>
      <c r="M284" s="399">
        <v>0.02</v>
      </c>
      <c r="N284" s="399">
        <v>0.02</v>
      </c>
      <c r="O284" s="399">
        <v>0.02</v>
      </c>
      <c r="P284" s="399">
        <v>0.02</v>
      </c>
      <c r="Q284" s="399">
        <v>0.02</v>
      </c>
      <c r="R284" s="399">
        <v>0.02</v>
      </c>
      <c r="S284" s="399">
        <v>0.02</v>
      </c>
      <c r="T284" s="399">
        <v>0.02</v>
      </c>
      <c r="U284" s="399">
        <v>0.02</v>
      </c>
      <c r="V284" s="402">
        <v>5</v>
      </c>
      <c r="W284" s="391" t="s">
        <v>812</v>
      </c>
      <c r="X284" s="391"/>
      <c r="Y284" s="391" t="s">
        <v>17</v>
      </c>
      <c r="Z284" s="395"/>
      <c r="AA284" s="387">
        <f t="shared" si="26"/>
        <v>1980</v>
      </c>
    </row>
    <row r="285" spans="1:27" x14ac:dyDescent="0.2">
      <c r="A285" s="391">
        <f t="shared" si="25"/>
        <v>283</v>
      </c>
      <c r="B285" s="396">
        <v>769</v>
      </c>
      <c r="C285" s="397" t="s">
        <v>235</v>
      </c>
      <c r="D285" s="392">
        <f t="shared" si="23"/>
        <v>0.01</v>
      </c>
      <c r="E285" s="392">
        <f t="shared" si="24"/>
        <v>0.01</v>
      </c>
      <c r="F285" s="399">
        <v>0.01</v>
      </c>
      <c r="G285" s="399">
        <v>0.01</v>
      </c>
      <c r="H285" s="399">
        <v>0.01</v>
      </c>
      <c r="I285" s="399">
        <v>0.01</v>
      </c>
      <c r="J285" s="399">
        <v>0.01</v>
      </c>
      <c r="K285" s="399">
        <v>0</v>
      </c>
      <c r="L285" s="399">
        <v>0</v>
      </c>
      <c r="M285" s="399">
        <v>0</v>
      </c>
      <c r="N285" s="399">
        <v>0</v>
      </c>
      <c r="O285" s="399">
        <v>0</v>
      </c>
      <c r="P285" s="399">
        <v>5.0000000000000001E-3</v>
      </c>
      <c r="Q285" s="399">
        <v>0.01</v>
      </c>
      <c r="R285" s="399">
        <v>0.01</v>
      </c>
      <c r="S285" s="399">
        <v>0.01</v>
      </c>
      <c r="T285" s="399">
        <v>0.01</v>
      </c>
      <c r="U285" s="399">
        <v>0.01</v>
      </c>
      <c r="V285" s="402">
        <v>3</v>
      </c>
      <c r="W285" s="391" t="s">
        <v>812</v>
      </c>
      <c r="X285" s="619" t="s">
        <v>1446</v>
      </c>
      <c r="Y285" s="391" t="s">
        <v>709</v>
      </c>
      <c r="Z285" s="395"/>
      <c r="AA285" s="387">
        <f t="shared" si="26"/>
        <v>2013</v>
      </c>
    </row>
    <row r="286" spans="1:27" s="3" customFormat="1" x14ac:dyDescent="0.2">
      <c r="A286" s="402">
        <f t="shared" si="25"/>
        <v>284</v>
      </c>
      <c r="B286" s="401">
        <v>725</v>
      </c>
      <c r="C286" s="397" t="s">
        <v>1583</v>
      </c>
      <c r="D286" s="399">
        <f t="shared" si="23"/>
        <v>0.01</v>
      </c>
      <c r="E286" s="399">
        <f t="shared" si="24"/>
        <v>0.01</v>
      </c>
      <c r="F286" s="399">
        <v>0</v>
      </c>
      <c r="G286" s="399">
        <v>0</v>
      </c>
      <c r="H286" s="399">
        <v>0</v>
      </c>
      <c r="I286" s="399">
        <v>0</v>
      </c>
      <c r="J286" s="399">
        <v>0</v>
      </c>
      <c r="K286" s="399">
        <v>0</v>
      </c>
      <c r="L286" s="399">
        <v>0</v>
      </c>
      <c r="M286" s="399">
        <v>0</v>
      </c>
      <c r="N286" s="399">
        <v>0</v>
      </c>
      <c r="O286" s="399">
        <v>0</v>
      </c>
      <c r="P286" s="399">
        <v>0</v>
      </c>
      <c r="Q286" s="399">
        <v>0</v>
      </c>
      <c r="R286" s="399">
        <v>0</v>
      </c>
      <c r="S286" s="399">
        <v>0.01</v>
      </c>
      <c r="T286" s="399">
        <v>0.01</v>
      </c>
      <c r="U286" s="399">
        <v>0.01</v>
      </c>
      <c r="V286" s="402">
        <v>5</v>
      </c>
      <c r="W286" s="402" t="s">
        <v>812</v>
      </c>
      <c r="X286" s="725"/>
      <c r="Y286" s="402"/>
      <c r="Z286" s="726"/>
      <c r="AA286" s="387">
        <f t="shared" si="26"/>
        <v>2016</v>
      </c>
    </row>
    <row r="287" spans="1:27" x14ac:dyDescent="0.2">
      <c r="A287" s="391">
        <f t="shared" si="25"/>
        <v>285</v>
      </c>
      <c r="B287" s="396">
        <v>627</v>
      </c>
      <c r="C287" s="397" t="s">
        <v>1476</v>
      </c>
      <c r="D287" s="392">
        <f t="shared" si="23"/>
        <v>1.4999999999999999E-2</v>
      </c>
      <c r="E287" s="392">
        <f t="shared" si="24"/>
        <v>1.4999999999999999E-2</v>
      </c>
      <c r="F287" s="399">
        <v>0</v>
      </c>
      <c r="G287" s="399">
        <v>0</v>
      </c>
      <c r="H287" s="399">
        <v>0</v>
      </c>
      <c r="I287" s="399">
        <v>0</v>
      </c>
      <c r="J287" s="399">
        <v>0</v>
      </c>
      <c r="K287" s="399">
        <v>0</v>
      </c>
      <c r="L287" s="399">
        <v>0</v>
      </c>
      <c r="M287" s="399">
        <v>0</v>
      </c>
      <c r="N287" s="399">
        <v>0</v>
      </c>
      <c r="O287" s="399">
        <v>0</v>
      </c>
      <c r="P287" s="692">
        <v>6.2500000000000003E-3</v>
      </c>
      <c r="Q287" s="399">
        <v>1.4999999999999999E-2</v>
      </c>
      <c r="R287" s="399">
        <v>1.4999999999999999E-2</v>
      </c>
      <c r="S287" s="399">
        <v>1.4999999999999999E-2</v>
      </c>
      <c r="T287" s="399">
        <v>1.4999999999999999E-2</v>
      </c>
      <c r="U287" s="399">
        <v>1.4999999999999999E-2</v>
      </c>
      <c r="V287" s="402">
        <v>3</v>
      </c>
      <c r="W287" s="391" t="s">
        <v>812</v>
      </c>
      <c r="X287" s="619" t="s">
        <v>1446</v>
      </c>
      <c r="Y287" s="391" t="s">
        <v>709</v>
      </c>
      <c r="Z287" s="395"/>
      <c r="AA287" s="387">
        <f t="shared" si="26"/>
        <v>2013</v>
      </c>
    </row>
    <row r="288" spans="1:27" s="3" customFormat="1" x14ac:dyDescent="0.2">
      <c r="A288" s="391">
        <f t="shared" si="25"/>
        <v>286</v>
      </c>
      <c r="B288" s="407">
        <v>857</v>
      </c>
      <c r="C288" s="739" t="s">
        <v>1644</v>
      </c>
      <c r="D288" s="399">
        <f t="shared" si="23"/>
        <v>0.01</v>
      </c>
      <c r="E288" s="399">
        <f t="shared" si="24"/>
        <v>0.01</v>
      </c>
      <c r="F288" s="399">
        <v>0</v>
      </c>
      <c r="G288" s="399">
        <v>0</v>
      </c>
      <c r="H288" s="399">
        <v>0</v>
      </c>
      <c r="I288" s="399">
        <v>0</v>
      </c>
      <c r="J288" s="399">
        <v>0</v>
      </c>
      <c r="K288" s="399">
        <v>0</v>
      </c>
      <c r="L288" s="399">
        <v>0</v>
      </c>
      <c r="M288" s="399">
        <v>0</v>
      </c>
      <c r="N288" s="399">
        <v>0</v>
      </c>
      <c r="O288" s="399">
        <v>0</v>
      </c>
      <c r="P288" s="399">
        <v>0</v>
      </c>
      <c r="Q288" s="399">
        <v>0</v>
      </c>
      <c r="R288" s="399">
        <v>0</v>
      </c>
      <c r="S288" s="399">
        <v>0.01</v>
      </c>
      <c r="T288" s="399">
        <v>0.01</v>
      </c>
      <c r="U288" s="399">
        <v>0.01</v>
      </c>
      <c r="V288" s="693">
        <v>5</v>
      </c>
      <c r="W288" s="402" t="s">
        <v>812</v>
      </c>
      <c r="X288" s="402"/>
      <c r="Y288" s="726"/>
      <c r="Z288" s="726"/>
      <c r="AA288" s="387">
        <f t="shared" si="26"/>
        <v>2016</v>
      </c>
    </row>
    <row r="289" spans="1:27" x14ac:dyDescent="0.2">
      <c r="A289" s="391">
        <f t="shared" si="25"/>
        <v>287</v>
      </c>
      <c r="B289" s="396">
        <v>776</v>
      </c>
      <c r="C289" s="394" t="s">
        <v>236</v>
      </c>
      <c r="D289" s="392">
        <f t="shared" si="23"/>
        <v>0.02</v>
      </c>
      <c r="E289" s="392">
        <f t="shared" si="24"/>
        <v>0.02</v>
      </c>
      <c r="F289" s="399">
        <v>0.02</v>
      </c>
      <c r="G289" s="399">
        <v>0.02</v>
      </c>
      <c r="H289" s="399">
        <v>0.02</v>
      </c>
      <c r="I289" s="399">
        <v>0.02</v>
      </c>
      <c r="J289" s="399">
        <v>0.02</v>
      </c>
      <c r="K289" s="399">
        <v>0.02</v>
      </c>
      <c r="L289" s="399">
        <v>0.02</v>
      </c>
      <c r="M289" s="399">
        <v>1.9300000000000001E-2</v>
      </c>
      <c r="N289" s="399">
        <v>0.02</v>
      </c>
      <c r="O289" s="399">
        <v>0.02</v>
      </c>
      <c r="P289" s="399">
        <v>0.02</v>
      </c>
      <c r="Q289" s="399">
        <v>0.02</v>
      </c>
      <c r="R289" s="399">
        <v>0.02</v>
      </c>
      <c r="S289" s="399">
        <v>0.02</v>
      </c>
      <c r="T289" s="399">
        <v>0.02</v>
      </c>
      <c r="U289" s="399">
        <v>0.02</v>
      </c>
      <c r="V289" s="402">
        <v>5</v>
      </c>
      <c r="W289" s="391" t="s">
        <v>812</v>
      </c>
      <c r="X289" s="619" t="s">
        <v>926</v>
      </c>
      <c r="Y289" s="391" t="s">
        <v>17</v>
      </c>
      <c r="Z289" s="395"/>
      <c r="AA289" s="387">
        <f t="shared" si="26"/>
        <v>1980</v>
      </c>
    </row>
    <row r="290" spans="1:27" x14ac:dyDescent="0.2">
      <c r="A290" s="402">
        <f t="shared" si="25"/>
        <v>288</v>
      </c>
      <c r="B290" s="396">
        <v>876</v>
      </c>
      <c r="C290" s="738" t="s">
        <v>1620</v>
      </c>
      <c r="D290" s="392">
        <f t="shared" si="23"/>
        <v>0.01</v>
      </c>
      <c r="E290" s="392">
        <f t="shared" si="24"/>
        <v>0.01</v>
      </c>
      <c r="F290" s="399">
        <v>0</v>
      </c>
      <c r="G290" s="399">
        <v>0</v>
      </c>
      <c r="H290" s="399">
        <v>0</v>
      </c>
      <c r="I290" s="399">
        <v>0</v>
      </c>
      <c r="J290" s="399">
        <v>0</v>
      </c>
      <c r="K290" s="399">
        <v>0</v>
      </c>
      <c r="L290" s="399">
        <v>0</v>
      </c>
      <c r="M290" s="399">
        <v>0</v>
      </c>
      <c r="N290" s="399">
        <v>0</v>
      </c>
      <c r="O290" s="399">
        <v>0</v>
      </c>
      <c r="P290" s="399">
        <v>0</v>
      </c>
      <c r="Q290" s="399">
        <v>0</v>
      </c>
      <c r="R290" s="399">
        <v>0</v>
      </c>
      <c r="S290" s="399">
        <v>0</v>
      </c>
      <c r="T290" s="399">
        <v>0.01</v>
      </c>
      <c r="U290" s="399">
        <v>0.01</v>
      </c>
      <c r="V290" s="402">
        <v>5</v>
      </c>
      <c r="W290" s="391" t="s">
        <v>812</v>
      </c>
      <c r="X290" s="619"/>
      <c r="Y290" s="391"/>
      <c r="Z290" s="395"/>
      <c r="AA290" s="387">
        <f t="shared" si="26"/>
        <v>2017</v>
      </c>
    </row>
    <row r="291" spans="1:27" ht="12.75" customHeight="1" x14ac:dyDescent="0.2">
      <c r="A291" s="391">
        <f t="shared" si="25"/>
        <v>289</v>
      </c>
      <c r="B291" s="396">
        <v>764</v>
      </c>
      <c r="C291" s="397" t="s">
        <v>1287</v>
      </c>
      <c r="D291" s="392">
        <f t="shared" si="23"/>
        <v>0.01</v>
      </c>
      <c r="E291" s="392">
        <f t="shared" si="24"/>
        <v>0.01</v>
      </c>
      <c r="F291" s="399">
        <v>0</v>
      </c>
      <c r="G291" s="399">
        <v>0</v>
      </c>
      <c r="H291" s="399">
        <v>0</v>
      </c>
      <c r="I291" s="399">
        <v>0</v>
      </c>
      <c r="J291" s="399">
        <v>0.01</v>
      </c>
      <c r="K291" s="399">
        <v>0.01</v>
      </c>
      <c r="L291" s="399">
        <v>0.01</v>
      </c>
      <c r="M291" s="399">
        <v>0.01</v>
      </c>
      <c r="N291" s="399">
        <v>0.01</v>
      </c>
      <c r="O291" s="399">
        <v>0.01</v>
      </c>
      <c r="P291" s="399">
        <v>0.01</v>
      </c>
      <c r="Q291" s="399">
        <v>0.01</v>
      </c>
      <c r="R291" s="399">
        <v>0.01</v>
      </c>
      <c r="S291" s="399">
        <v>0.01</v>
      </c>
      <c r="T291" s="399">
        <v>0.01</v>
      </c>
      <c r="U291" s="399">
        <v>0.01</v>
      </c>
      <c r="V291" s="402">
        <v>5</v>
      </c>
      <c r="W291" s="391" t="s">
        <v>812</v>
      </c>
      <c r="X291" s="400"/>
      <c r="Y291" s="391"/>
      <c r="Z291" s="395"/>
      <c r="AA291" s="387">
        <f t="shared" si="26"/>
        <v>2007</v>
      </c>
    </row>
    <row r="292" spans="1:27" x14ac:dyDescent="0.2">
      <c r="A292" s="391">
        <f t="shared" si="25"/>
        <v>290</v>
      </c>
      <c r="B292" s="396">
        <v>775</v>
      </c>
      <c r="C292" s="394" t="s">
        <v>237</v>
      </c>
      <c r="D292" s="392">
        <f t="shared" si="23"/>
        <v>0.02</v>
      </c>
      <c r="E292" s="392">
        <f t="shared" si="24"/>
        <v>0.02</v>
      </c>
      <c r="F292" s="399">
        <v>0.01</v>
      </c>
      <c r="G292" s="399">
        <v>0.01</v>
      </c>
      <c r="H292" s="399">
        <v>0.01</v>
      </c>
      <c r="I292" s="399">
        <v>0.01</v>
      </c>
      <c r="J292" s="399">
        <v>0.01</v>
      </c>
      <c r="K292" s="399">
        <v>0.02</v>
      </c>
      <c r="L292" s="399">
        <v>0.02</v>
      </c>
      <c r="M292" s="399">
        <v>0.02</v>
      </c>
      <c r="N292" s="399">
        <v>0.02</v>
      </c>
      <c r="O292" s="399">
        <v>0.02</v>
      </c>
      <c r="P292" s="399">
        <v>0.02</v>
      </c>
      <c r="Q292" s="399">
        <v>0.02</v>
      </c>
      <c r="R292" s="399">
        <v>0.02</v>
      </c>
      <c r="S292" s="399">
        <v>0.02</v>
      </c>
      <c r="T292" s="399">
        <v>0.02</v>
      </c>
      <c r="U292" s="399">
        <v>0.02</v>
      </c>
      <c r="V292" s="402">
        <v>5</v>
      </c>
      <c r="W292" s="391" t="s">
        <v>812</v>
      </c>
      <c r="X292" s="620"/>
      <c r="Y292" s="391" t="s">
        <v>17</v>
      </c>
      <c r="Z292" s="395"/>
      <c r="AA292" s="387">
        <f t="shared" si="26"/>
        <v>1980</v>
      </c>
    </row>
    <row r="293" spans="1:27" x14ac:dyDescent="0.2">
      <c r="A293" s="391">
        <f t="shared" si="25"/>
        <v>291</v>
      </c>
      <c r="B293" s="396">
        <v>780</v>
      </c>
      <c r="C293" s="394" t="s">
        <v>238</v>
      </c>
      <c r="D293" s="392">
        <f t="shared" si="23"/>
        <v>0.02</v>
      </c>
      <c r="E293" s="392">
        <f t="shared" si="24"/>
        <v>0.02</v>
      </c>
      <c r="F293" s="399">
        <v>0.02</v>
      </c>
      <c r="G293" s="399">
        <v>0.02</v>
      </c>
      <c r="H293" s="399">
        <v>0.02</v>
      </c>
      <c r="I293" s="399">
        <v>0.02</v>
      </c>
      <c r="J293" s="399">
        <v>0.02</v>
      </c>
      <c r="K293" s="399">
        <v>0.02</v>
      </c>
      <c r="L293" s="399">
        <v>0.02</v>
      </c>
      <c r="M293" s="399">
        <v>0.02</v>
      </c>
      <c r="N293" s="399">
        <v>0.02</v>
      </c>
      <c r="O293" s="399">
        <v>0.02</v>
      </c>
      <c r="P293" s="399">
        <v>0.02</v>
      </c>
      <c r="Q293" s="399">
        <v>0.02</v>
      </c>
      <c r="R293" s="399">
        <v>0.02</v>
      </c>
      <c r="S293" s="399">
        <v>0.02</v>
      </c>
      <c r="T293" s="399">
        <v>0.02</v>
      </c>
      <c r="U293" s="399">
        <v>0.02</v>
      </c>
      <c r="V293" s="402">
        <v>5</v>
      </c>
      <c r="W293" s="391" t="s">
        <v>812</v>
      </c>
      <c r="X293" s="391"/>
      <c r="Y293" s="391" t="s">
        <v>17</v>
      </c>
      <c r="Z293" s="395"/>
      <c r="AA293" s="387">
        <f t="shared" si="26"/>
        <v>1980</v>
      </c>
    </row>
    <row r="294" spans="1:27" ht="12.75" customHeight="1" x14ac:dyDescent="0.2">
      <c r="A294" s="391">
        <f t="shared" si="25"/>
        <v>292</v>
      </c>
      <c r="B294" s="396">
        <v>742</v>
      </c>
      <c r="C294" s="394" t="s">
        <v>960</v>
      </c>
      <c r="D294" s="392">
        <f t="shared" si="23"/>
        <v>7.4999999999999997E-3</v>
      </c>
      <c r="E294" s="392">
        <f t="shared" si="24"/>
        <v>7.4999999999999997E-3</v>
      </c>
      <c r="F294" s="399">
        <v>0</v>
      </c>
      <c r="G294" s="399">
        <v>7.4999999999999997E-3</v>
      </c>
      <c r="H294" s="399">
        <v>7.4999999999999997E-3</v>
      </c>
      <c r="I294" s="399">
        <v>7.4999999999999997E-3</v>
      </c>
      <c r="J294" s="399">
        <v>7.4999999999999997E-3</v>
      </c>
      <c r="K294" s="399">
        <v>7.4999999999999997E-3</v>
      </c>
      <c r="L294" s="399">
        <v>7.4999999999999997E-3</v>
      </c>
      <c r="M294" s="399">
        <v>7.4999999999999997E-3</v>
      </c>
      <c r="N294" s="399">
        <v>7.4999999999999997E-3</v>
      </c>
      <c r="O294" s="399">
        <v>7.4999999999999997E-3</v>
      </c>
      <c r="P294" s="399">
        <v>7.4999999999999997E-3</v>
      </c>
      <c r="Q294" s="399">
        <v>7.4999999999999997E-3</v>
      </c>
      <c r="R294" s="399">
        <v>7.4999999999999997E-3</v>
      </c>
      <c r="S294" s="399">
        <v>7.4999999999999997E-3</v>
      </c>
      <c r="T294" s="399">
        <v>7.4999999999999997E-3</v>
      </c>
      <c r="U294" s="399">
        <v>7.4999999999999997E-3</v>
      </c>
      <c r="V294" s="402">
        <v>0</v>
      </c>
      <c r="W294" s="391" t="s">
        <v>687</v>
      </c>
      <c r="X294" s="391"/>
      <c r="Y294" s="400" t="s">
        <v>16</v>
      </c>
      <c r="Z294" s="395"/>
      <c r="AA294" s="387">
        <f t="shared" si="26"/>
        <v>2004</v>
      </c>
    </row>
    <row r="295" spans="1:27" ht="12.75" customHeight="1" x14ac:dyDescent="0.2">
      <c r="A295" s="391">
        <f t="shared" si="25"/>
        <v>293</v>
      </c>
      <c r="B295" s="396">
        <v>733</v>
      </c>
      <c r="C295" s="394" t="s">
        <v>1409</v>
      </c>
      <c r="D295" s="392">
        <f t="shared" si="23"/>
        <v>1.4999999999999999E-2</v>
      </c>
      <c r="E295" s="392">
        <f t="shared" si="24"/>
        <v>1.4999999999999999E-2</v>
      </c>
      <c r="F295" s="399">
        <v>1.4999999999999999E-2</v>
      </c>
      <c r="G295" s="399">
        <v>1.4999999999999999E-2</v>
      </c>
      <c r="H295" s="399">
        <v>1.4999999999999999E-2</v>
      </c>
      <c r="I295" s="399">
        <v>1.4999999999999999E-2</v>
      </c>
      <c r="J295" s="399">
        <v>1.4999999999999999E-2</v>
      </c>
      <c r="K295" s="399">
        <v>1.4999999999999999E-2</v>
      </c>
      <c r="L295" s="399">
        <v>1.4999999999999999E-2</v>
      </c>
      <c r="M295" s="399">
        <v>1.4999999999999999E-2</v>
      </c>
      <c r="N295" s="399">
        <v>1.4999999999999999E-2</v>
      </c>
      <c r="O295" s="399">
        <v>1.4999999999999999E-2</v>
      </c>
      <c r="P295" s="399">
        <v>1.4999999999999999E-2</v>
      </c>
      <c r="Q295" s="399">
        <v>1.4999999999999999E-2</v>
      </c>
      <c r="R295" s="399">
        <v>1.4999999999999999E-2</v>
      </c>
      <c r="S295" s="399">
        <v>1.4999999999999999E-2</v>
      </c>
      <c r="T295" s="399">
        <v>1.4999999999999999E-2</v>
      </c>
      <c r="U295" s="399">
        <v>1.4999999999999999E-2</v>
      </c>
      <c r="V295" s="404">
        <v>5</v>
      </c>
      <c r="W295" s="404" t="s">
        <v>812</v>
      </c>
      <c r="X295" s="391"/>
      <c r="Y295" s="400"/>
      <c r="Z295" s="395"/>
      <c r="AA295" s="387">
        <f t="shared" si="26"/>
        <v>1980</v>
      </c>
    </row>
    <row r="296" spans="1:27" ht="12.75" customHeight="1" x14ac:dyDescent="0.2">
      <c r="A296" s="391">
        <f t="shared" si="25"/>
        <v>294</v>
      </c>
      <c r="B296" s="396">
        <v>779</v>
      </c>
      <c r="C296" s="394" t="s">
        <v>239</v>
      </c>
      <c r="D296" s="392">
        <f t="shared" si="23"/>
        <v>0.01</v>
      </c>
      <c r="E296" s="392">
        <f t="shared" si="24"/>
        <v>0.01</v>
      </c>
      <c r="F296" s="399">
        <v>0.01</v>
      </c>
      <c r="G296" s="399">
        <v>0.01</v>
      </c>
      <c r="H296" s="399">
        <v>0.01</v>
      </c>
      <c r="I296" s="399">
        <v>0.01</v>
      </c>
      <c r="J296" s="399">
        <v>0.01</v>
      </c>
      <c r="K296" s="399">
        <v>0.01</v>
      </c>
      <c r="L296" s="399">
        <v>0.01</v>
      </c>
      <c r="M296" s="399">
        <v>0.01</v>
      </c>
      <c r="N296" s="399">
        <v>0.01</v>
      </c>
      <c r="O296" s="399">
        <v>0.01</v>
      </c>
      <c r="P296" s="399">
        <v>0.01</v>
      </c>
      <c r="Q296" s="399">
        <v>0.01</v>
      </c>
      <c r="R296" s="399">
        <v>0.01</v>
      </c>
      <c r="S296" s="399">
        <v>0.01</v>
      </c>
      <c r="T296" s="399">
        <v>0.01</v>
      </c>
      <c r="U296" s="399">
        <v>0.01</v>
      </c>
      <c r="V296" s="402">
        <v>0</v>
      </c>
      <c r="W296" s="391" t="s">
        <v>687</v>
      </c>
      <c r="X296" s="391"/>
      <c r="Y296" s="400" t="s">
        <v>16</v>
      </c>
      <c r="Z296" s="395"/>
      <c r="AA296" s="387">
        <f t="shared" si="26"/>
        <v>1980</v>
      </c>
    </row>
    <row r="297" spans="1:27" x14ac:dyDescent="0.2">
      <c r="A297" s="391">
        <f t="shared" si="25"/>
        <v>295</v>
      </c>
      <c r="B297" s="396">
        <v>784</v>
      </c>
      <c r="C297" s="394" t="s">
        <v>50</v>
      </c>
      <c r="D297" s="392">
        <f t="shared" si="23"/>
        <v>1.4999999999999999E-2</v>
      </c>
      <c r="E297" s="392">
        <f t="shared" si="24"/>
        <v>1.4999999999999999E-2</v>
      </c>
      <c r="F297" s="399">
        <v>1.2500000000000001E-2</v>
      </c>
      <c r="G297" s="399">
        <v>1.2500000000000001E-2</v>
      </c>
      <c r="H297" s="399">
        <v>1.2500000000000001E-2</v>
      </c>
      <c r="I297" s="399">
        <v>1.2500000000000001E-2</v>
      </c>
      <c r="J297" s="399">
        <v>1.2500000000000001E-2</v>
      </c>
      <c r="K297" s="399">
        <v>1.2500000000000001E-2</v>
      </c>
      <c r="L297" s="399">
        <v>1.2500000000000001E-2</v>
      </c>
      <c r="M297" s="399">
        <v>1.2500000000000001E-2</v>
      </c>
      <c r="N297" s="399">
        <v>1.2500000000000001E-2</v>
      </c>
      <c r="O297" s="399">
        <v>1.2500000000000001E-2</v>
      </c>
      <c r="P297" s="399">
        <v>1.2500000000000001E-2</v>
      </c>
      <c r="Q297" s="399">
        <v>1.2500000000000001E-2</v>
      </c>
      <c r="R297" s="399">
        <v>1.2500000000000001E-2</v>
      </c>
      <c r="S297" s="399">
        <v>1.2500000000000001E-2</v>
      </c>
      <c r="T297" s="399">
        <v>1.4999999999999999E-2</v>
      </c>
      <c r="U297" s="399">
        <v>1.4999999999999999E-2</v>
      </c>
      <c r="V297" s="402">
        <v>5</v>
      </c>
      <c r="W297" s="391" t="s">
        <v>812</v>
      </c>
      <c r="X297" s="391"/>
      <c r="Y297" s="400"/>
      <c r="Z297" s="395"/>
      <c r="AA297" s="387">
        <f t="shared" si="26"/>
        <v>1980</v>
      </c>
    </row>
    <row r="298" spans="1:27" x14ac:dyDescent="0.2">
      <c r="A298" s="391">
        <f t="shared" si="25"/>
        <v>296</v>
      </c>
      <c r="B298" s="396">
        <v>785</v>
      </c>
      <c r="C298" s="397" t="s">
        <v>505</v>
      </c>
      <c r="D298" s="392">
        <f t="shared" si="23"/>
        <v>0.01</v>
      </c>
      <c r="E298" s="392">
        <f t="shared" si="24"/>
        <v>0.01</v>
      </c>
      <c r="F298" s="399">
        <v>0.01</v>
      </c>
      <c r="G298" s="399">
        <v>0.01</v>
      </c>
      <c r="H298" s="399">
        <v>0.01</v>
      </c>
      <c r="I298" s="399">
        <v>0.01</v>
      </c>
      <c r="J298" s="399">
        <v>0.01</v>
      </c>
      <c r="K298" s="399">
        <v>0.01</v>
      </c>
      <c r="L298" s="399">
        <v>0.01</v>
      </c>
      <c r="M298" s="399">
        <v>0.01</v>
      </c>
      <c r="N298" s="399">
        <v>0.01</v>
      </c>
      <c r="O298" s="399">
        <v>0.01</v>
      </c>
      <c r="P298" s="399">
        <v>0.01</v>
      </c>
      <c r="Q298" s="399">
        <v>0.01</v>
      </c>
      <c r="R298" s="399">
        <v>0.01</v>
      </c>
      <c r="S298" s="399">
        <v>0.01</v>
      </c>
      <c r="T298" s="399">
        <v>0.01</v>
      </c>
      <c r="U298" s="399">
        <v>0.01</v>
      </c>
      <c r="V298" s="402">
        <v>5</v>
      </c>
      <c r="W298" s="402" t="s">
        <v>812</v>
      </c>
      <c r="X298" s="391"/>
      <c r="Y298" s="400"/>
      <c r="Z298" s="395"/>
      <c r="AA298" s="387">
        <f t="shared" si="26"/>
        <v>1980</v>
      </c>
    </row>
    <row r="299" spans="1:27" x14ac:dyDescent="0.2">
      <c r="A299" s="391">
        <f t="shared" si="25"/>
        <v>297</v>
      </c>
      <c r="B299" s="396">
        <v>783</v>
      </c>
      <c r="C299" s="394" t="s">
        <v>1176</v>
      </c>
      <c r="D299" s="392">
        <f t="shared" si="23"/>
        <v>0.02</v>
      </c>
      <c r="E299" s="392">
        <f t="shared" si="24"/>
        <v>0.02</v>
      </c>
      <c r="F299" s="399">
        <v>0.02</v>
      </c>
      <c r="G299" s="399">
        <v>0.02</v>
      </c>
      <c r="H299" s="399">
        <v>0.02</v>
      </c>
      <c r="I299" s="399">
        <v>0.02</v>
      </c>
      <c r="J299" s="399">
        <v>0.02</v>
      </c>
      <c r="K299" s="399">
        <v>0.02</v>
      </c>
      <c r="L299" s="399">
        <v>0.02</v>
      </c>
      <c r="M299" s="399">
        <v>0.02</v>
      </c>
      <c r="N299" s="399">
        <v>0.02</v>
      </c>
      <c r="O299" s="399">
        <v>0.02</v>
      </c>
      <c r="P299" s="399">
        <v>0.02</v>
      </c>
      <c r="Q299" s="399">
        <v>0.02</v>
      </c>
      <c r="R299" s="399">
        <v>0.02</v>
      </c>
      <c r="S299" s="399">
        <v>0.02</v>
      </c>
      <c r="T299" s="399">
        <v>0.02</v>
      </c>
      <c r="U299" s="399">
        <v>0.02</v>
      </c>
      <c r="V299" s="402">
        <v>0</v>
      </c>
      <c r="W299" s="391" t="s">
        <v>687</v>
      </c>
      <c r="X299" s="391"/>
      <c r="Y299" s="400"/>
      <c r="Z299" s="395"/>
      <c r="AA299" s="387">
        <f t="shared" si="26"/>
        <v>1980</v>
      </c>
    </row>
    <row r="300" spans="1:27" x14ac:dyDescent="0.2">
      <c r="A300" s="391">
        <f>+A299+1</f>
        <v>298</v>
      </c>
      <c r="B300" s="396">
        <v>728</v>
      </c>
      <c r="C300" s="394" t="s">
        <v>1376</v>
      </c>
      <c r="D300" s="392">
        <f t="shared" si="23"/>
        <v>0.01</v>
      </c>
      <c r="E300" s="392">
        <f t="shared" si="24"/>
        <v>0.01</v>
      </c>
      <c r="F300" s="510">
        <v>0</v>
      </c>
      <c r="G300" s="510">
        <v>0</v>
      </c>
      <c r="H300" s="510">
        <v>0</v>
      </c>
      <c r="I300" s="510">
        <v>0</v>
      </c>
      <c r="J300" s="510">
        <v>0</v>
      </c>
      <c r="K300" s="510">
        <v>0</v>
      </c>
      <c r="L300" s="510">
        <v>0.01</v>
      </c>
      <c r="M300" s="510">
        <v>0.01</v>
      </c>
      <c r="N300" s="510">
        <v>0.01</v>
      </c>
      <c r="O300" s="510">
        <v>0.01</v>
      </c>
      <c r="P300" s="510">
        <v>0.01</v>
      </c>
      <c r="Q300" s="510">
        <v>0.01</v>
      </c>
      <c r="R300" s="510">
        <v>0.01</v>
      </c>
      <c r="S300" s="510">
        <v>0.01</v>
      </c>
      <c r="T300" s="510">
        <v>0.01</v>
      </c>
      <c r="U300" s="510">
        <v>0.01</v>
      </c>
      <c r="V300" s="402">
        <v>0</v>
      </c>
      <c r="W300" s="391" t="s">
        <v>687</v>
      </c>
      <c r="X300" s="391"/>
      <c r="Y300" s="400"/>
      <c r="Z300" s="395"/>
      <c r="AA300" s="387">
        <f t="shared" si="26"/>
        <v>2009</v>
      </c>
    </row>
    <row r="301" spans="1:27" x14ac:dyDescent="0.2">
      <c r="A301" s="391">
        <f>+A300+1</f>
        <v>299</v>
      </c>
      <c r="B301" s="396">
        <v>727</v>
      </c>
      <c r="C301" s="397" t="s">
        <v>506</v>
      </c>
      <c r="D301" s="392">
        <f t="shared" si="23"/>
        <v>0.01</v>
      </c>
      <c r="E301" s="392">
        <f t="shared" si="24"/>
        <v>0.01</v>
      </c>
      <c r="F301" s="399">
        <v>0</v>
      </c>
      <c r="G301" s="399">
        <v>0</v>
      </c>
      <c r="H301" s="399">
        <v>0</v>
      </c>
      <c r="I301" s="399">
        <v>0</v>
      </c>
      <c r="J301" s="399">
        <v>0</v>
      </c>
      <c r="K301" s="399">
        <v>0</v>
      </c>
      <c r="L301" s="399">
        <v>0</v>
      </c>
      <c r="M301" s="399">
        <v>0</v>
      </c>
      <c r="N301" s="399">
        <v>0</v>
      </c>
      <c r="O301" s="399">
        <v>0.01</v>
      </c>
      <c r="P301" s="399">
        <v>0.01</v>
      </c>
      <c r="Q301" s="399">
        <v>0.01</v>
      </c>
      <c r="R301" s="399">
        <v>0.01</v>
      </c>
      <c r="S301" s="399">
        <v>0.01</v>
      </c>
      <c r="T301" s="399">
        <v>0.01</v>
      </c>
      <c r="U301" s="399">
        <v>0.01</v>
      </c>
      <c r="V301" s="402">
        <v>5</v>
      </c>
      <c r="W301" s="402" t="s">
        <v>812</v>
      </c>
      <c r="X301" s="619" t="s">
        <v>766</v>
      </c>
      <c r="Y301" s="391" t="s">
        <v>17</v>
      </c>
      <c r="Z301" s="395"/>
      <c r="AA301" s="387">
        <f t="shared" si="26"/>
        <v>2012</v>
      </c>
    </row>
    <row r="302" spans="1:27" x14ac:dyDescent="0.2">
      <c r="A302" s="391">
        <f>+A301+1</f>
        <v>300</v>
      </c>
      <c r="B302" s="396">
        <v>794</v>
      </c>
      <c r="C302" s="394" t="s">
        <v>240</v>
      </c>
      <c r="D302" s="392">
        <f t="shared" si="23"/>
        <v>0.01</v>
      </c>
      <c r="E302" s="392">
        <f t="shared" si="24"/>
        <v>0.01</v>
      </c>
      <c r="F302" s="399">
        <v>0.01</v>
      </c>
      <c r="G302" s="399">
        <v>0.01</v>
      </c>
      <c r="H302" s="399">
        <v>0.01</v>
      </c>
      <c r="I302" s="399">
        <v>0.01</v>
      </c>
      <c r="J302" s="399">
        <v>0.01</v>
      </c>
      <c r="K302" s="399">
        <v>0.01</v>
      </c>
      <c r="L302" s="399">
        <v>0.01</v>
      </c>
      <c r="M302" s="399">
        <v>0.01</v>
      </c>
      <c r="N302" s="399">
        <v>0.01</v>
      </c>
      <c r="O302" s="399">
        <v>0.01</v>
      </c>
      <c r="P302" s="399">
        <v>0.01</v>
      </c>
      <c r="Q302" s="399">
        <v>0.01</v>
      </c>
      <c r="R302" s="399">
        <v>0.01</v>
      </c>
      <c r="S302" s="399">
        <v>0.01</v>
      </c>
      <c r="T302" s="399">
        <v>0.01</v>
      </c>
      <c r="U302" s="399">
        <v>0.01</v>
      </c>
      <c r="V302" s="402">
        <v>5</v>
      </c>
      <c r="W302" s="391" t="s">
        <v>812</v>
      </c>
      <c r="X302" s="391"/>
      <c r="Y302" s="391" t="s">
        <v>17</v>
      </c>
      <c r="Z302" s="395"/>
      <c r="AA302" s="387">
        <f t="shared" si="26"/>
        <v>1980</v>
      </c>
    </row>
    <row r="303" spans="1:27" x14ac:dyDescent="0.2">
      <c r="A303" s="391">
        <f t="shared" si="25"/>
        <v>301</v>
      </c>
      <c r="B303" s="401">
        <v>792</v>
      </c>
      <c r="C303" s="394" t="s">
        <v>241</v>
      </c>
      <c r="D303" s="392">
        <f t="shared" si="23"/>
        <v>0.02</v>
      </c>
      <c r="E303" s="392">
        <f t="shared" si="24"/>
        <v>0.02</v>
      </c>
      <c r="F303" s="398">
        <v>1.4999999999999999E-2</v>
      </c>
      <c r="G303" s="399">
        <v>1.4999999999999999E-2</v>
      </c>
      <c r="H303" s="399">
        <v>0.02</v>
      </c>
      <c r="I303" s="399">
        <v>0.02</v>
      </c>
      <c r="J303" s="399">
        <v>0.02</v>
      </c>
      <c r="K303" s="399">
        <v>0.02</v>
      </c>
      <c r="L303" s="399">
        <v>0.02</v>
      </c>
      <c r="M303" s="399">
        <v>0.02</v>
      </c>
      <c r="N303" s="399">
        <v>0.02</v>
      </c>
      <c r="O303" s="399">
        <v>0.02</v>
      </c>
      <c r="P303" s="399">
        <v>0.02</v>
      </c>
      <c r="Q303" s="399">
        <v>0.02</v>
      </c>
      <c r="R303" s="399">
        <v>0.02</v>
      </c>
      <c r="S303" s="399">
        <v>0.02</v>
      </c>
      <c r="T303" s="399">
        <v>0.02</v>
      </c>
      <c r="U303" s="399">
        <v>0.02</v>
      </c>
      <c r="V303" s="402">
        <v>0</v>
      </c>
      <c r="W303" s="391" t="s">
        <v>687</v>
      </c>
      <c r="X303" s="400"/>
      <c r="Y303" s="726"/>
      <c r="Z303" s="395"/>
      <c r="AA303" s="387">
        <f t="shared" si="26"/>
        <v>1980</v>
      </c>
    </row>
    <row r="304" spans="1:27" x14ac:dyDescent="0.2">
      <c r="A304" s="391">
        <f t="shared" si="25"/>
        <v>302</v>
      </c>
      <c r="B304" s="401">
        <v>801</v>
      </c>
      <c r="C304" s="394" t="s">
        <v>49</v>
      </c>
      <c r="D304" s="392">
        <f t="shared" si="23"/>
        <v>0.01</v>
      </c>
      <c r="E304" s="392">
        <f t="shared" si="24"/>
        <v>0.01</v>
      </c>
      <c r="F304" s="398">
        <v>0</v>
      </c>
      <c r="G304" s="399">
        <v>0</v>
      </c>
      <c r="H304" s="399">
        <v>0</v>
      </c>
      <c r="I304" s="399">
        <v>0</v>
      </c>
      <c r="J304" s="399">
        <v>0</v>
      </c>
      <c r="K304" s="399">
        <v>0.01</v>
      </c>
      <c r="L304" s="399">
        <v>0.01</v>
      </c>
      <c r="M304" s="399">
        <v>0.01</v>
      </c>
      <c r="N304" s="399">
        <v>0.01</v>
      </c>
      <c r="O304" s="399">
        <v>0.01</v>
      </c>
      <c r="P304" s="399">
        <v>0.01</v>
      </c>
      <c r="Q304" s="399">
        <v>0.01</v>
      </c>
      <c r="R304" s="399">
        <v>0.01</v>
      </c>
      <c r="S304" s="399">
        <v>0.01</v>
      </c>
      <c r="T304" s="399">
        <v>0.01</v>
      </c>
      <c r="U304" s="399">
        <v>0.01</v>
      </c>
      <c r="V304" s="402">
        <v>0</v>
      </c>
      <c r="W304" s="391" t="s">
        <v>687</v>
      </c>
      <c r="X304" s="620"/>
      <c r="Y304" s="726"/>
      <c r="Z304" s="395"/>
      <c r="AA304" s="387">
        <f t="shared" si="26"/>
        <v>2008</v>
      </c>
    </row>
    <row r="305" spans="1:27" x14ac:dyDescent="0.2">
      <c r="A305" s="391">
        <f t="shared" si="25"/>
        <v>303</v>
      </c>
      <c r="B305" s="401">
        <v>855</v>
      </c>
      <c r="C305" s="397" t="s">
        <v>1495</v>
      </c>
      <c r="D305" s="392">
        <f t="shared" si="23"/>
        <v>0.01</v>
      </c>
      <c r="E305" s="392">
        <f t="shared" si="24"/>
        <v>0.01</v>
      </c>
      <c r="F305" s="399">
        <v>0</v>
      </c>
      <c r="G305" s="399">
        <v>0</v>
      </c>
      <c r="H305" s="399">
        <v>0</v>
      </c>
      <c r="I305" s="399">
        <v>0</v>
      </c>
      <c r="J305" s="399">
        <v>0</v>
      </c>
      <c r="K305" s="399">
        <v>0</v>
      </c>
      <c r="L305" s="399">
        <v>0</v>
      </c>
      <c r="M305" s="399">
        <v>0</v>
      </c>
      <c r="N305" s="399">
        <v>0</v>
      </c>
      <c r="O305" s="399">
        <v>0</v>
      </c>
      <c r="P305" s="399">
        <v>0</v>
      </c>
      <c r="Q305" s="399">
        <v>5.0000000000000001E-3</v>
      </c>
      <c r="R305" s="399">
        <v>0.01</v>
      </c>
      <c r="S305" s="399">
        <v>0.01</v>
      </c>
      <c r="T305" s="399">
        <v>0.01</v>
      </c>
      <c r="U305" s="399">
        <v>0.01</v>
      </c>
      <c r="V305" s="402">
        <v>5</v>
      </c>
      <c r="W305" s="402" t="s">
        <v>812</v>
      </c>
      <c r="X305" s="619" t="s">
        <v>1489</v>
      </c>
      <c r="Y305" s="391" t="s">
        <v>17</v>
      </c>
      <c r="Z305" s="395"/>
      <c r="AA305" s="387">
        <f t="shared" si="26"/>
        <v>2014</v>
      </c>
    </row>
    <row r="306" spans="1:27" x14ac:dyDescent="0.2">
      <c r="A306" s="391">
        <f t="shared" si="25"/>
        <v>304</v>
      </c>
      <c r="B306" s="401">
        <v>790</v>
      </c>
      <c r="C306" s="397" t="s">
        <v>242</v>
      </c>
      <c r="D306" s="392">
        <f t="shared" si="23"/>
        <v>0.02</v>
      </c>
      <c r="E306" s="392">
        <f t="shared" si="24"/>
        <v>0.02</v>
      </c>
      <c r="F306" s="399">
        <v>0.02</v>
      </c>
      <c r="G306" s="399">
        <v>0.02</v>
      </c>
      <c r="H306" s="399">
        <v>0.02</v>
      </c>
      <c r="I306" s="399">
        <v>0.02</v>
      </c>
      <c r="J306" s="399">
        <v>0.02</v>
      </c>
      <c r="K306" s="399">
        <v>0.02</v>
      </c>
      <c r="L306" s="399">
        <v>2.2499999999999999E-2</v>
      </c>
      <c r="M306" s="399">
        <v>2.2499999999999999E-2</v>
      </c>
      <c r="N306" s="399">
        <v>2.2499999999999999E-2</v>
      </c>
      <c r="O306" s="399">
        <v>2.2499999999999999E-2</v>
      </c>
      <c r="P306" s="399">
        <v>0.02</v>
      </c>
      <c r="Q306" s="399">
        <v>0.02</v>
      </c>
      <c r="R306" s="399">
        <v>0.02</v>
      </c>
      <c r="S306" s="399">
        <v>0.02</v>
      </c>
      <c r="T306" s="399">
        <v>0.02</v>
      </c>
      <c r="U306" s="399">
        <v>0.02</v>
      </c>
      <c r="V306" s="402">
        <v>0</v>
      </c>
      <c r="W306" s="402" t="s">
        <v>687</v>
      </c>
      <c r="X306" s="391"/>
      <c r="Y306" s="391" t="s">
        <v>17</v>
      </c>
      <c r="Z306" s="395"/>
      <c r="AA306" s="387">
        <f t="shared" si="26"/>
        <v>1980</v>
      </c>
    </row>
    <row r="307" spans="1:27" x14ac:dyDescent="0.2">
      <c r="A307" s="391">
        <f t="shared" si="25"/>
        <v>305</v>
      </c>
      <c r="B307" s="401">
        <v>797</v>
      </c>
      <c r="C307" s="397" t="s">
        <v>243</v>
      </c>
      <c r="D307" s="392">
        <f t="shared" si="23"/>
        <v>0.02</v>
      </c>
      <c r="E307" s="392">
        <f t="shared" si="24"/>
        <v>0.02</v>
      </c>
      <c r="F307" s="399">
        <v>1.7500000000000002E-2</v>
      </c>
      <c r="G307" s="399">
        <v>1.7500000000000002E-2</v>
      </c>
      <c r="H307" s="399">
        <v>1.7500000000000002E-2</v>
      </c>
      <c r="I307" s="399">
        <v>1.7500000000000002E-2</v>
      </c>
      <c r="J307" s="399">
        <v>1.7500000000000002E-2</v>
      </c>
      <c r="K307" s="399">
        <v>1.7500000000000002E-2</v>
      </c>
      <c r="L307" s="399">
        <v>1.7500000000000002E-2</v>
      </c>
      <c r="M307" s="399">
        <v>1.7500000000000002E-2</v>
      </c>
      <c r="N307" s="399">
        <v>1.7500000000000002E-2</v>
      </c>
      <c r="O307" s="399">
        <v>1.7500000000000002E-2</v>
      </c>
      <c r="P307" s="399">
        <v>1.7500000000000002E-2</v>
      </c>
      <c r="Q307" s="399">
        <v>1.7500000000000002E-2</v>
      </c>
      <c r="R307" s="399">
        <v>1.7500000000000002E-2</v>
      </c>
      <c r="S307" s="399">
        <v>1.8749999999999999E-2</v>
      </c>
      <c r="T307" s="399">
        <v>0.02</v>
      </c>
      <c r="U307" s="399">
        <v>0.02</v>
      </c>
      <c r="V307" s="402">
        <v>0</v>
      </c>
      <c r="W307" s="391" t="s">
        <v>687</v>
      </c>
      <c r="X307" s="619" t="s">
        <v>1604</v>
      </c>
      <c r="Y307" s="391" t="s">
        <v>17</v>
      </c>
      <c r="Z307" s="395"/>
      <c r="AA307" s="387">
        <f t="shared" si="26"/>
        <v>1980</v>
      </c>
    </row>
    <row r="308" spans="1:27" x14ac:dyDescent="0.2">
      <c r="A308" s="402">
        <f t="shared" si="25"/>
        <v>306</v>
      </c>
      <c r="B308" s="401">
        <v>800</v>
      </c>
      <c r="C308" s="394" t="s">
        <v>244</v>
      </c>
      <c r="D308" s="392">
        <f t="shared" si="23"/>
        <v>2.5000000000000001E-2</v>
      </c>
      <c r="E308" s="392">
        <f t="shared" si="24"/>
        <v>2.5000000000000001E-2</v>
      </c>
      <c r="F308" s="399">
        <v>1.4999999999999999E-2</v>
      </c>
      <c r="G308" s="399">
        <v>1.4999999999999999E-2</v>
      </c>
      <c r="H308" s="399">
        <v>1.4999999999999999E-2</v>
      </c>
      <c r="I308" s="399">
        <v>2.5000000000000001E-2</v>
      </c>
      <c r="J308" s="399">
        <v>2.5000000000000001E-2</v>
      </c>
      <c r="K308" s="399">
        <v>2.5000000000000001E-2</v>
      </c>
      <c r="L308" s="399">
        <v>2.5000000000000001E-2</v>
      </c>
      <c r="M308" s="399">
        <v>2.5000000000000001E-2</v>
      </c>
      <c r="N308" s="399">
        <v>2.5000000000000001E-2</v>
      </c>
      <c r="O308" s="399">
        <v>2.5000000000000001E-2</v>
      </c>
      <c r="P308" s="399">
        <v>2.5000000000000001E-2</v>
      </c>
      <c r="Q308" s="399">
        <v>2.5000000000000001E-2</v>
      </c>
      <c r="R308" s="399">
        <v>2.5000000000000001E-2</v>
      </c>
      <c r="S308" s="399">
        <v>2.5000000000000001E-2</v>
      </c>
      <c r="T308" s="399">
        <v>2.5000000000000001E-2</v>
      </c>
      <c r="U308" s="399">
        <v>2.5000000000000001E-2</v>
      </c>
      <c r="V308" s="402">
        <v>5</v>
      </c>
      <c r="W308" s="391" t="s">
        <v>812</v>
      </c>
      <c r="X308" s="391"/>
      <c r="Y308" s="391" t="s">
        <v>17</v>
      </c>
      <c r="Z308" s="395"/>
      <c r="AA308" s="387">
        <f t="shared" si="26"/>
        <v>1980</v>
      </c>
    </row>
    <row r="309" spans="1:27" ht="12.75" customHeight="1" x14ac:dyDescent="0.2">
      <c r="A309" s="391">
        <f t="shared" si="25"/>
        <v>307</v>
      </c>
      <c r="B309" s="401">
        <v>802</v>
      </c>
      <c r="C309" s="397" t="s">
        <v>554</v>
      </c>
      <c r="D309" s="392">
        <f t="shared" si="23"/>
        <v>2.5000000000000001E-2</v>
      </c>
      <c r="E309" s="392">
        <f t="shared" si="24"/>
        <v>2.5000000000000001E-2</v>
      </c>
      <c r="F309" s="399">
        <v>0.02</v>
      </c>
      <c r="G309" s="399">
        <v>0.02</v>
      </c>
      <c r="H309" s="399">
        <v>0.02</v>
      </c>
      <c r="I309" s="399">
        <v>0.02</v>
      </c>
      <c r="J309" s="399">
        <v>0.02</v>
      </c>
      <c r="K309" s="399">
        <v>0.02</v>
      </c>
      <c r="L309" s="399">
        <v>0.02</v>
      </c>
      <c r="M309" s="399">
        <v>0.02</v>
      </c>
      <c r="N309" s="399">
        <v>0.02</v>
      </c>
      <c r="O309" s="399">
        <v>0.02</v>
      </c>
      <c r="P309" s="399">
        <v>0.02</v>
      </c>
      <c r="Q309" s="399">
        <v>2.5000000000000001E-2</v>
      </c>
      <c r="R309" s="399">
        <v>2.5000000000000001E-2</v>
      </c>
      <c r="S309" s="399">
        <v>2.5000000000000001E-2</v>
      </c>
      <c r="T309" s="399">
        <v>2.5000000000000001E-2</v>
      </c>
      <c r="U309" s="399">
        <v>2.5000000000000001E-2</v>
      </c>
      <c r="V309" s="402">
        <v>0</v>
      </c>
      <c r="W309" s="391" t="s">
        <v>687</v>
      </c>
      <c r="X309" s="391"/>
      <c r="Y309" s="400" t="s">
        <v>16</v>
      </c>
      <c r="Z309" s="395"/>
      <c r="AA309" s="387">
        <f t="shared" si="26"/>
        <v>1980</v>
      </c>
    </row>
    <row r="310" spans="1:27" x14ac:dyDescent="0.2">
      <c r="A310" s="391">
        <f t="shared" si="25"/>
        <v>308</v>
      </c>
      <c r="B310" s="396">
        <v>806</v>
      </c>
      <c r="C310" s="394" t="s">
        <v>245</v>
      </c>
      <c r="D310" s="392">
        <f t="shared" si="23"/>
        <v>0.02</v>
      </c>
      <c r="E310" s="392">
        <f t="shared" si="24"/>
        <v>0.02</v>
      </c>
      <c r="F310" s="399">
        <v>0.02</v>
      </c>
      <c r="G310" s="399">
        <v>0.02</v>
      </c>
      <c r="H310" s="399">
        <v>0.02</v>
      </c>
      <c r="I310" s="399">
        <v>0.02</v>
      </c>
      <c r="J310" s="399">
        <v>0.02</v>
      </c>
      <c r="K310" s="399">
        <v>0.02</v>
      </c>
      <c r="L310" s="399">
        <v>0.02</v>
      </c>
      <c r="M310" s="399">
        <v>0.02</v>
      </c>
      <c r="N310" s="399">
        <v>0.02</v>
      </c>
      <c r="O310" s="399">
        <v>0.02</v>
      </c>
      <c r="P310" s="399">
        <v>0.02</v>
      </c>
      <c r="Q310" s="399">
        <v>0.02</v>
      </c>
      <c r="R310" s="399">
        <v>0.02</v>
      </c>
      <c r="S310" s="399">
        <v>0.02</v>
      </c>
      <c r="T310" s="399">
        <v>0.02</v>
      </c>
      <c r="U310" s="399">
        <v>0.02</v>
      </c>
      <c r="V310" s="402">
        <v>0</v>
      </c>
      <c r="W310" s="391" t="s">
        <v>687</v>
      </c>
      <c r="X310" s="391"/>
      <c r="Y310" s="391" t="s">
        <v>17</v>
      </c>
      <c r="Z310" s="395"/>
      <c r="AA310" s="387">
        <f t="shared" si="26"/>
        <v>1980</v>
      </c>
    </row>
    <row r="311" spans="1:27" x14ac:dyDescent="0.2">
      <c r="A311" s="391">
        <f t="shared" si="25"/>
        <v>309</v>
      </c>
      <c r="B311" s="396">
        <v>810</v>
      </c>
      <c r="C311" s="394" t="s">
        <v>1070</v>
      </c>
      <c r="D311" s="392">
        <f t="shared" si="23"/>
        <v>0.02</v>
      </c>
      <c r="E311" s="392">
        <f t="shared" si="24"/>
        <v>0.02</v>
      </c>
      <c r="F311" s="399">
        <v>0.02</v>
      </c>
      <c r="G311" s="399">
        <v>0.02</v>
      </c>
      <c r="H311" s="399">
        <v>0.02</v>
      </c>
      <c r="I311" s="399">
        <v>0.02</v>
      </c>
      <c r="J311" s="399">
        <v>0.02</v>
      </c>
      <c r="K311" s="399">
        <v>0.02</v>
      </c>
      <c r="L311" s="399">
        <v>0.02</v>
      </c>
      <c r="M311" s="399">
        <v>0.02</v>
      </c>
      <c r="N311" s="399">
        <v>0.02</v>
      </c>
      <c r="O311" s="399">
        <v>0.02</v>
      </c>
      <c r="P311" s="399">
        <v>0.02</v>
      </c>
      <c r="Q311" s="399">
        <v>0.02</v>
      </c>
      <c r="R311" s="399">
        <v>0.02</v>
      </c>
      <c r="S311" s="399">
        <v>0.02</v>
      </c>
      <c r="T311" s="399">
        <v>0.02</v>
      </c>
      <c r="U311" s="399">
        <v>0.02</v>
      </c>
      <c r="V311" s="402">
        <v>5</v>
      </c>
      <c r="W311" s="391" t="s">
        <v>812</v>
      </c>
      <c r="X311" s="391"/>
      <c r="Y311" s="391" t="s">
        <v>17</v>
      </c>
      <c r="Z311" s="395"/>
      <c r="AA311" s="387">
        <f t="shared" si="26"/>
        <v>1980</v>
      </c>
    </row>
    <row r="312" spans="1:27" x14ac:dyDescent="0.2">
      <c r="A312" s="391">
        <f t="shared" si="25"/>
        <v>310</v>
      </c>
      <c r="B312" s="396">
        <v>743</v>
      </c>
      <c r="C312" s="394" t="s">
        <v>1071</v>
      </c>
      <c r="D312" s="392">
        <f t="shared" si="23"/>
        <v>0</v>
      </c>
      <c r="E312" s="392">
        <f t="shared" si="24"/>
        <v>0</v>
      </c>
      <c r="F312" s="399">
        <v>0</v>
      </c>
      <c r="G312" s="399">
        <v>0</v>
      </c>
      <c r="H312" s="399">
        <v>0</v>
      </c>
      <c r="I312" s="399">
        <v>0</v>
      </c>
      <c r="J312" s="399">
        <v>0</v>
      </c>
      <c r="K312" s="399">
        <v>0</v>
      </c>
      <c r="L312" s="399">
        <v>0</v>
      </c>
      <c r="M312" s="399">
        <v>0</v>
      </c>
      <c r="N312" s="399">
        <v>0.01</v>
      </c>
      <c r="O312" s="399">
        <v>0.01</v>
      </c>
      <c r="P312" s="399">
        <v>0.01</v>
      </c>
      <c r="Q312" s="399">
        <v>0.01</v>
      </c>
      <c r="R312" s="399">
        <v>0.01</v>
      </c>
      <c r="S312" s="399">
        <v>0.01</v>
      </c>
      <c r="T312" s="399">
        <v>0</v>
      </c>
      <c r="U312" s="399">
        <v>0</v>
      </c>
      <c r="V312" s="402">
        <v>5</v>
      </c>
      <c r="W312" s="391" t="s">
        <v>812</v>
      </c>
      <c r="X312" s="391"/>
      <c r="Y312" s="391"/>
      <c r="Z312" s="395"/>
      <c r="AA312" s="387">
        <f t="shared" si="26"/>
        <v>2011</v>
      </c>
    </row>
    <row r="313" spans="1:27" x14ac:dyDescent="0.2">
      <c r="A313" s="391">
        <f t="shared" si="25"/>
        <v>311</v>
      </c>
      <c r="B313" s="401">
        <v>815</v>
      </c>
      <c r="C313" s="397" t="s">
        <v>246</v>
      </c>
      <c r="D313" s="392">
        <f t="shared" si="23"/>
        <v>1.4999999999999999E-2</v>
      </c>
      <c r="E313" s="392">
        <f t="shared" si="24"/>
        <v>1.4999999999999999E-2</v>
      </c>
      <c r="F313" s="399">
        <v>0.01</v>
      </c>
      <c r="G313" s="399">
        <v>0.01</v>
      </c>
      <c r="H313" s="399">
        <v>0.01</v>
      </c>
      <c r="I313" s="399">
        <v>0.01</v>
      </c>
      <c r="J313" s="399">
        <v>0.01</v>
      </c>
      <c r="K313" s="399">
        <v>0.01</v>
      </c>
      <c r="L313" s="399">
        <v>0.01</v>
      </c>
      <c r="M313" s="399">
        <v>0.01</v>
      </c>
      <c r="N313" s="399">
        <v>0.01</v>
      </c>
      <c r="O313" s="399">
        <v>1.4999999999999999E-2</v>
      </c>
      <c r="P313" s="399">
        <v>1.4999999999999999E-2</v>
      </c>
      <c r="Q313" s="399">
        <v>1.4999999999999999E-2</v>
      </c>
      <c r="R313" s="399">
        <v>1.4999999999999999E-2</v>
      </c>
      <c r="S313" s="399">
        <v>1.4999999999999999E-2</v>
      </c>
      <c r="T313" s="399">
        <v>1.4999999999999999E-2</v>
      </c>
      <c r="U313" s="399">
        <v>1.4999999999999999E-2</v>
      </c>
      <c r="V313" s="402">
        <v>3</v>
      </c>
      <c r="W313" s="402" t="s">
        <v>812</v>
      </c>
      <c r="X313" s="619" t="s">
        <v>728</v>
      </c>
      <c r="Y313" s="402"/>
      <c r="Z313" s="395"/>
      <c r="AA313" s="387">
        <f t="shared" si="26"/>
        <v>1980</v>
      </c>
    </row>
    <row r="314" spans="1:27" s="3" customFormat="1" x14ac:dyDescent="0.2">
      <c r="A314" s="402">
        <f t="shared" si="25"/>
        <v>312</v>
      </c>
      <c r="B314" s="401">
        <v>818</v>
      </c>
      <c r="C314" s="397" t="s">
        <v>1511</v>
      </c>
      <c r="D314" s="399">
        <f t="shared" si="23"/>
        <v>1.4E-2</v>
      </c>
      <c r="E314" s="392">
        <f t="shared" si="24"/>
        <v>1.4E-2</v>
      </c>
      <c r="F314" s="399">
        <v>1.2999999999999999E-2</v>
      </c>
      <c r="G314" s="399">
        <v>1.2999999999999999E-2</v>
      </c>
      <c r="H314" s="399">
        <v>1.2999999999999999E-2</v>
      </c>
      <c r="I314" s="399">
        <v>1.2999999999999999E-2</v>
      </c>
      <c r="J314" s="399">
        <v>1.2999999999999999E-2</v>
      </c>
      <c r="K314" s="399">
        <v>1.2999999999999999E-2</v>
      </c>
      <c r="L314" s="399">
        <v>1.2999999999999999E-2</v>
      </c>
      <c r="M314" s="399">
        <v>1.2999999999999999E-2</v>
      </c>
      <c r="N314" s="399">
        <v>1.4E-2</v>
      </c>
      <c r="O314" s="399">
        <v>1.4E-2</v>
      </c>
      <c r="P314" s="399">
        <v>1.4E-2</v>
      </c>
      <c r="Q314" s="399">
        <v>1.4E-2</v>
      </c>
      <c r="R314" s="399">
        <v>1.4E-2</v>
      </c>
      <c r="S314" s="399">
        <v>1.4E-2</v>
      </c>
      <c r="T314" s="399">
        <v>1.4E-2</v>
      </c>
      <c r="U314" s="399">
        <v>1.4E-2</v>
      </c>
      <c r="V314" s="402">
        <v>5</v>
      </c>
      <c r="W314" s="402" t="s">
        <v>812</v>
      </c>
      <c r="X314" s="725"/>
      <c r="Y314" s="402"/>
      <c r="Z314" s="726"/>
      <c r="AA314" s="387">
        <f t="shared" si="26"/>
        <v>1980</v>
      </c>
    </row>
    <row r="315" spans="1:27" x14ac:dyDescent="0.2">
      <c r="A315" s="391">
        <f t="shared" si="25"/>
        <v>313</v>
      </c>
      <c r="B315" s="396">
        <v>821</v>
      </c>
      <c r="C315" s="394" t="s">
        <v>247</v>
      </c>
      <c r="D315" s="392">
        <f t="shared" si="23"/>
        <v>0.01</v>
      </c>
      <c r="E315" s="392">
        <f t="shared" si="24"/>
        <v>0.01</v>
      </c>
      <c r="F315" s="399">
        <v>0.01</v>
      </c>
      <c r="G315" s="399">
        <v>0.01</v>
      </c>
      <c r="H315" s="399">
        <v>0.01</v>
      </c>
      <c r="I315" s="399">
        <v>0.01</v>
      </c>
      <c r="J315" s="399">
        <v>0.01</v>
      </c>
      <c r="K315" s="399">
        <v>0.01</v>
      </c>
      <c r="L315" s="399">
        <v>0.01</v>
      </c>
      <c r="M315" s="399">
        <v>0.01</v>
      </c>
      <c r="N315" s="399">
        <v>0.01</v>
      </c>
      <c r="O315" s="399">
        <v>0.01</v>
      </c>
      <c r="P315" s="399">
        <v>0.01</v>
      </c>
      <c r="Q315" s="399">
        <v>0.01</v>
      </c>
      <c r="R315" s="399">
        <v>0.01</v>
      </c>
      <c r="S315" s="399">
        <v>0.01</v>
      </c>
      <c r="T315" s="399">
        <v>0.01</v>
      </c>
      <c r="U315" s="399">
        <v>0.01</v>
      </c>
      <c r="V315" s="402">
        <v>5</v>
      </c>
      <c r="W315" s="391" t="s">
        <v>812</v>
      </c>
      <c r="X315" s="391"/>
      <c r="Y315" s="391" t="s">
        <v>17</v>
      </c>
      <c r="Z315" s="395"/>
      <c r="AA315" s="387">
        <f t="shared" si="26"/>
        <v>1980</v>
      </c>
    </row>
    <row r="316" spans="1:27" x14ac:dyDescent="0.2">
      <c r="A316" s="402">
        <f t="shared" si="25"/>
        <v>314</v>
      </c>
      <c r="B316" s="396">
        <v>909</v>
      </c>
      <c r="C316" s="739" t="s">
        <v>1621</v>
      </c>
      <c r="D316" s="392">
        <f t="shared" si="23"/>
        <v>5.0000000000000001E-3</v>
      </c>
      <c r="E316" s="392">
        <f t="shared" si="24"/>
        <v>5.0000000000000001E-3</v>
      </c>
      <c r="F316" s="510">
        <v>0</v>
      </c>
      <c r="G316" s="510">
        <v>0</v>
      </c>
      <c r="H316" s="510">
        <v>0</v>
      </c>
      <c r="I316" s="510">
        <v>0</v>
      </c>
      <c r="J316" s="510">
        <v>0</v>
      </c>
      <c r="K316" s="510">
        <v>0</v>
      </c>
      <c r="L316" s="510">
        <v>0</v>
      </c>
      <c r="M316" s="510">
        <v>0</v>
      </c>
      <c r="N316" s="510">
        <v>0</v>
      </c>
      <c r="O316" s="510">
        <v>0</v>
      </c>
      <c r="P316" s="510">
        <v>0</v>
      </c>
      <c r="Q316" s="510">
        <v>0</v>
      </c>
      <c r="R316" s="510">
        <v>0</v>
      </c>
      <c r="S316" s="510">
        <v>0</v>
      </c>
      <c r="T316" s="510">
        <v>5.0000000000000001E-3</v>
      </c>
      <c r="U316" s="510">
        <v>5.0000000000000001E-3</v>
      </c>
      <c r="V316" s="402">
        <v>5</v>
      </c>
      <c r="W316" s="404" t="s">
        <v>812</v>
      </c>
      <c r="X316" s="619"/>
      <c r="Y316" s="506"/>
      <c r="Z316" s="395"/>
      <c r="AA316" s="387">
        <f t="shared" si="26"/>
        <v>2017</v>
      </c>
    </row>
    <row r="317" spans="1:27" x14ac:dyDescent="0.2">
      <c r="A317" s="391">
        <f t="shared" si="25"/>
        <v>315</v>
      </c>
      <c r="B317" s="396">
        <v>808</v>
      </c>
      <c r="C317" s="397" t="s">
        <v>1410</v>
      </c>
      <c r="D317" s="392">
        <f t="shared" si="23"/>
        <v>0.02</v>
      </c>
      <c r="E317" s="392">
        <f t="shared" si="24"/>
        <v>0.02</v>
      </c>
      <c r="F317" s="510">
        <v>0</v>
      </c>
      <c r="G317" s="510">
        <v>0.02</v>
      </c>
      <c r="H317" s="510">
        <v>0.02</v>
      </c>
      <c r="I317" s="510">
        <v>0.02</v>
      </c>
      <c r="J317" s="510">
        <v>0.02</v>
      </c>
      <c r="K317" s="510">
        <v>0.02</v>
      </c>
      <c r="L317" s="510">
        <v>0.02</v>
      </c>
      <c r="M317" s="510">
        <v>0.02</v>
      </c>
      <c r="N317" s="510">
        <v>0.02</v>
      </c>
      <c r="O317" s="510">
        <v>0.02</v>
      </c>
      <c r="P317" s="510">
        <v>0.02</v>
      </c>
      <c r="Q317" s="510">
        <v>0.02</v>
      </c>
      <c r="R317" s="510">
        <v>0.02</v>
      </c>
      <c r="S317" s="510">
        <v>0.02</v>
      </c>
      <c r="T317" s="510">
        <v>0.02</v>
      </c>
      <c r="U317" s="510">
        <v>0.02</v>
      </c>
      <c r="V317" s="402">
        <v>5</v>
      </c>
      <c r="W317" s="404" t="s">
        <v>812</v>
      </c>
      <c r="X317" s="619"/>
      <c r="Y317" s="506" t="s">
        <v>739</v>
      </c>
      <c r="Z317" s="395"/>
      <c r="AA317" s="387">
        <f t="shared" si="26"/>
        <v>2004</v>
      </c>
    </row>
    <row r="318" spans="1:27" s="773" customFormat="1" x14ac:dyDescent="0.2">
      <c r="A318" s="764">
        <f t="shared" si="25"/>
        <v>316</v>
      </c>
      <c r="B318" s="774">
        <v>916</v>
      </c>
      <c r="C318" s="775" t="s">
        <v>1775</v>
      </c>
      <c r="D318" s="767">
        <f t="shared" si="23"/>
        <v>0</v>
      </c>
      <c r="E318" s="767">
        <f t="shared" si="24"/>
        <v>0.01</v>
      </c>
      <c r="F318" s="768">
        <v>0</v>
      </c>
      <c r="G318" s="768">
        <v>0</v>
      </c>
      <c r="H318" s="768">
        <v>0</v>
      </c>
      <c r="I318" s="768">
        <v>0</v>
      </c>
      <c r="J318" s="768">
        <v>0</v>
      </c>
      <c r="K318" s="768">
        <v>0</v>
      </c>
      <c r="L318" s="768">
        <v>0</v>
      </c>
      <c r="M318" s="768">
        <v>0</v>
      </c>
      <c r="N318" s="768">
        <v>0</v>
      </c>
      <c r="O318" s="768">
        <v>0</v>
      </c>
      <c r="P318" s="768">
        <v>0</v>
      </c>
      <c r="Q318" s="768">
        <v>0</v>
      </c>
      <c r="R318" s="768">
        <v>0</v>
      </c>
      <c r="S318" s="768">
        <v>0</v>
      </c>
      <c r="T318" s="768">
        <v>0</v>
      </c>
      <c r="U318" s="768">
        <v>0.01</v>
      </c>
      <c r="V318" s="764">
        <v>5</v>
      </c>
      <c r="W318" s="781" t="s">
        <v>812</v>
      </c>
      <c r="X318" s="779"/>
      <c r="Y318" s="937"/>
      <c r="Z318" s="776"/>
      <c r="AA318" s="772">
        <f t="shared" ref="AA318" si="27">_xlfn.IFNA(MATCH(0,F318:U318,1),-23) + F$2 -1</f>
        <v>2018</v>
      </c>
    </row>
    <row r="319" spans="1:27" x14ac:dyDescent="0.2">
      <c r="A319" s="391">
        <f t="shared" si="25"/>
        <v>317</v>
      </c>
      <c r="B319" s="396">
        <v>827</v>
      </c>
      <c r="C319" s="394" t="s">
        <v>1377</v>
      </c>
      <c r="D319" s="392">
        <f t="shared" si="23"/>
        <v>5.0000000000000001E-3</v>
      </c>
      <c r="E319" s="392">
        <f t="shared" si="24"/>
        <v>5.0000000000000001E-3</v>
      </c>
      <c r="F319" s="510">
        <v>0</v>
      </c>
      <c r="G319" s="510">
        <v>0</v>
      </c>
      <c r="H319" s="510">
        <v>0</v>
      </c>
      <c r="I319" s="510">
        <v>0</v>
      </c>
      <c r="J319" s="510">
        <v>0</v>
      </c>
      <c r="K319" s="510">
        <v>0</v>
      </c>
      <c r="L319" s="510">
        <v>0.01</v>
      </c>
      <c r="M319" s="510">
        <v>0.01</v>
      </c>
      <c r="N319" s="510">
        <v>0.01</v>
      </c>
      <c r="O319" s="510">
        <v>0.01</v>
      </c>
      <c r="P319" s="510">
        <v>0.01</v>
      </c>
      <c r="Q319" s="510">
        <v>0.01</v>
      </c>
      <c r="R319" s="510">
        <v>5.0000000000000001E-3</v>
      </c>
      <c r="S319" s="510">
        <v>5.0000000000000001E-3</v>
      </c>
      <c r="T319" s="510">
        <v>5.0000000000000001E-3</v>
      </c>
      <c r="U319" s="510">
        <v>5.0000000000000001E-3</v>
      </c>
      <c r="V319" s="402">
        <v>5</v>
      </c>
      <c r="W319" s="512" t="s">
        <v>812</v>
      </c>
      <c r="X319" s="619" t="s">
        <v>1499</v>
      </c>
      <c r="Y319" s="506" t="s">
        <v>739</v>
      </c>
      <c r="Z319" s="395"/>
      <c r="AA319" s="387">
        <f t="shared" si="26"/>
        <v>2009</v>
      </c>
    </row>
    <row r="320" spans="1:27" x14ac:dyDescent="0.2">
      <c r="A320" s="391">
        <f t="shared" si="25"/>
        <v>318</v>
      </c>
      <c r="B320" s="396">
        <v>833</v>
      </c>
      <c r="C320" s="397" t="s">
        <v>1411</v>
      </c>
      <c r="D320" s="392">
        <f t="shared" si="23"/>
        <v>0.01</v>
      </c>
      <c r="E320" s="392">
        <f t="shared" si="24"/>
        <v>0.01</v>
      </c>
      <c r="F320" s="398">
        <v>0.01</v>
      </c>
      <c r="G320" s="399">
        <v>0.01</v>
      </c>
      <c r="H320" s="399">
        <v>0.01</v>
      </c>
      <c r="I320" s="399">
        <v>0.01</v>
      </c>
      <c r="J320" s="399">
        <v>0.01</v>
      </c>
      <c r="K320" s="399">
        <v>0.01</v>
      </c>
      <c r="L320" s="399">
        <v>0.01</v>
      </c>
      <c r="M320" s="399">
        <v>0.01</v>
      </c>
      <c r="N320" s="399">
        <v>0.01</v>
      </c>
      <c r="O320" s="399">
        <v>0.01</v>
      </c>
      <c r="P320" s="399">
        <v>0.01</v>
      </c>
      <c r="Q320" s="399">
        <v>0.01</v>
      </c>
      <c r="R320" s="399">
        <v>0.01</v>
      </c>
      <c r="S320" s="399">
        <v>0.01</v>
      </c>
      <c r="T320" s="399">
        <v>0.01</v>
      </c>
      <c r="U320" s="399">
        <v>0.01</v>
      </c>
      <c r="V320" s="404">
        <v>3</v>
      </c>
      <c r="W320" s="404" t="s">
        <v>812</v>
      </c>
      <c r="X320" s="619"/>
      <c r="Y320" s="402"/>
      <c r="Z320" s="395"/>
      <c r="AA320" s="387">
        <f t="shared" si="26"/>
        <v>1980</v>
      </c>
    </row>
    <row r="321" spans="1:27" x14ac:dyDescent="0.2">
      <c r="A321" s="391">
        <f t="shared" si="25"/>
        <v>319</v>
      </c>
      <c r="B321" s="396">
        <v>834</v>
      </c>
      <c r="C321" s="394" t="s">
        <v>248</v>
      </c>
      <c r="D321" s="392">
        <f t="shared" si="23"/>
        <v>0.01</v>
      </c>
      <c r="E321" s="392">
        <f t="shared" si="24"/>
        <v>0.01</v>
      </c>
      <c r="F321" s="398">
        <v>7.4999999999999997E-3</v>
      </c>
      <c r="G321" s="399">
        <v>0.01</v>
      </c>
      <c r="H321" s="399">
        <v>0.01</v>
      </c>
      <c r="I321" s="399">
        <v>0.01</v>
      </c>
      <c r="J321" s="399">
        <v>0.01</v>
      </c>
      <c r="K321" s="399">
        <v>0.01</v>
      </c>
      <c r="L321" s="399">
        <v>0.01</v>
      </c>
      <c r="M321" s="399">
        <v>0.01</v>
      </c>
      <c r="N321" s="399">
        <v>0.01</v>
      </c>
      <c r="O321" s="399">
        <v>0.01</v>
      </c>
      <c r="P321" s="399">
        <v>0.01</v>
      </c>
      <c r="Q321" s="399">
        <v>0.01</v>
      </c>
      <c r="R321" s="399">
        <v>0.01</v>
      </c>
      <c r="S321" s="399">
        <v>0.01</v>
      </c>
      <c r="T321" s="399">
        <v>0.01</v>
      </c>
      <c r="U321" s="399">
        <v>0.01</v>
      </c>
      <c r="V321" s="402">
        <v>5</v>
      </c>
      <c r="W321" s="391" t="s">
        <v>812</v>
      </c>
      <c r="X321" s="619"/>
      <c r="Y321" s="402"/>
      <c r="Z321" s="395"/>
      <c r="AA321" s="387">
        <f t="shared" si="26"/>
        <v>1980</v>
      </c>
    </row>
    <row r="322" spans="1:27" x14ac:dyDescent="0.2">
      <c r="A322" s="391">
        <f t="shared" si="25"/>
        <v>320</v>
      </c>
      <c r="B322" s="401">
        <v>839</v>
      </c>
      <c r="C322" s="394" t="s">
        <v>907</v>
      </c>
      <c r="D322" s="392">
        <f t="shared" si="23"/>
        <v>1.4999999999999999E-2</v>
      </c>
      <c r="E322" s="392">
        <f t="shared" si="24"/>
        <v>1.4999999999999999E-2</v>
      </c>
      <c r="F322" s="399">
        <v>0.01</v>
      </c>
      <c r="G322" s="399">
        <v>0.01</v>
      </c>
      <c r="H322" s="399">
        <v>0.01</v>
      </c>
      <c r="I322" s="399">
        <v>0.01</v>
      </c>
      <c r="J322" s="399">
        <v>0.01</v>
      </c>
      <c r="K322" s="399">
        <v>0.01</v>
      </c>
      <c r="L322" s="399">
        <v>0.01</v>
      </c>
      <c r="M322" s="399">
        <v>0.01</v>
      </c>
      <c r="N322" s="399">
        <v>0.01</v>
      </c>
      <c r="O322" s="399">
        <v>0.01</v>
      </c>
      <c r="P322" s="399">
        <v>0.01</v>
      </c>
      <c r="Q322" s="399">
        <v>0.01</v>
      </c>
      <c r="R322" s="399">
        <v>0.01</v>
      </c>
      <c r="S322" s="399">
        <v>0.01</v>
      </c>
      <c r="T322" s="399">
        <v>1.4999999999999999E-2</v>
      </c>
      <c r="U322" s="399">
        <v>1.4999999999999999E-2</v>
      </c>
      <c r="V322" s="402">
        <v>0</v>
      </c>
      <c r="W322" s="391" t="s">
        <v>687</v>
      </c>
      <c r="X322" s="619"/>
      <c r="Y322" s="391" t="s">
        <v>17</v>
      </c>
      <c r="Z322" s="395"/>
      <c r="AA322" s="387">
        <f t="shared" si="26"/>
        <v>1980</v>
      </c>
    </row>
    <row r="323" spans="1:27" x14ac:dyDescent="0.2">
      <c r="A323" s="391">
        <f t="shared" si="25"/>
        <v>321</v>
      </c>
      <c r="B323" s="401">
        <v>841</v>
      </c>
      <c r="C323" s="394" t="s">
        <v>908</v>
      </c>
      <c r="D323" s="392">
        <f t="shared" si="23"/>
        <v>0.01</v>
      </c>
      <c r="E323" s="392">
        <f t="shared" si="24"/>
        <v>0.01</v>
      </c>
      <c r="F323" s="399">
        <v>0</v>
      </c>
      <c r="G323" s="399">
        <v>0</v>
      </c>
      <c r="H323" s="399">
        <v>0.01</v>
      </c>
      <c r="I323" s="399">
        <v>0.01</v>
      </c>
      <c r="J323" s="399">
        <v>0.01</v>
      </c>
      <c r="K323" s="399">
        <v>0.01</v>
      </c>
      <c r="L323" s="399">
        <v>0.01</v>
      </c>
      <c r="M323" s="399">
        <v>0.01</v>
      </c>
      <c r="N323" s="399">
        <v>0.01</v>
      </c>
      <c r="O323" s="399">
        <v>0.01</v>
      </c>
      <c r="P323" s="399">
        <v>0.01</v>
      </c>
      <c r="Q323" s="399">
        <v>0.01</v>
      </c>
      <c r="R323" s="399">
        <v>0.01</v>
      </c>
      <c r="S323" s="399">
        <v>0.01</v>
      </c>
      <c r="T323" s="399">
        <v>0.01</v>
      </c>
      <c r="U323" s="399">
        <v>0.01</v>
      </c>
      <c r="V323" s="402">
        <v>5</v>
      </c>
      <c r="W323" s="391" t="s">
        <v>812</v>
      </c>
      <c r="X323" s="619"/>
      <c r="Y323" s="402" t="s">
        <v>17</v>
      </c>
      <c r="Z323" s="395"/>
      <c r="AA323" s="387">
        <f t="shared" si="26"/>
        <v>2005</v>
      </c>
    </row>
    <row r="324" spans="1:27" x14ac:dyDescent="0.2">
      <c r="A324" s="402">
        <f t="shared" si="25"/>
        <v>322</v>
      </c>
      <c r="B324" s="401">
        <v>817</v>
      </c>
      <c r="C324" s="739" t="s">
        <v>1622</v>
      </c>
      <c r="D324" s="392">
        <f t="shared" ref="D324:D330" si="28">HLOOKUP(D$1,F$2:U$405,(A324+1),FALSE)</f>
        <v>1.4999999999999999E-2</v>
      </c>
      <c r="E324" s="392">
        <f t="shared" ref="E324:E330" si="29">HLOOKUP(D$1+1,F$2:U$405,(A324+1),FALSE)</f>
        <v>1.4999999999999999E-2</v>
      </c>
      <c r="F324" s="399">
        <v>0</v>
      </c>
      <c r="G324" s="399">
        <v>1.4999999999999999E-2</v>
      </c>
      <c r="H324" s="399">
        <v>1.4999999999999999E-2</v>
      </c>
      <c r="I324" s="399">
        <v>1.4999999999999999E-2</v>
      </c>
      <c r="J324" s="399">
        <v>1.4999999999999999E-2</v>
      </c>
      <c r="K324" s="399">
        <v>1.4999999999999999E-2</v>
      </c>
      <c r="L324" s="399">
        <v>1.4999999999999999E-2</v>
      </c>
      <c r="M324" s="399">
        <v>1.4999999999999999E-2</v>
      </c>
      <c r="N324" s="399">
        <v>1.4999999999999999E-2</v>
      </c>
      <c r="O324" s="399">
        <v>1.4999999999999999E-2</v>
      </c>
      <c r="P324" s="399">
        <v>1.4999999999999999E-2</v>
      </c>
      <c r="Q324" s="399">
        <v>1.4999999999999999E-2</v>
      </c>
      <c r="R324" s="399">
        <v>1.4999999999999999E-2</v>
      </c>
      <c r="S324" s="399">
        <v>1.4999999999999999E-2</v>
      </c>
      <c r="T324" s="399">
        <v>1.4999999999999999E-2</v>
      </c>
      <c r="U324" s="399">
        <v>1.4999999999999999E-2</v>
      </c>
      <c r="V324" s="402">
        <v>5</v>
      </c>
      <c r="W324" s="402" t="s">
        <v>812</v>
      </c>
      <c r="X324" s="391"/>
      <c r="Y324" s="402"/>
      <c r="Z324" s="395"/>
      <c r="AA324" s="387">
        <f t="shared" si="26"/>
        <v>2004</v>
      </c>
    </row>
    <row r="325" spans="1:27" x14ac:dyDescent="0.2">
      <c r="A325" s="391">
        <f t="shared" si="25"/>
        <v>323</v>
      </c>
      <c r="B325" s="401">
        <v>850</v>
      </c>
      <c r="C325" s="397" t="s">
        <v>931</v>
      </c>
      <c r="D325" s="392">
        <f t="shared" si="28"/>
        <v>0.01</v>
      </c>
      <c r="E325" s="392">
        <f t="shared" si="29"/>
        <v>0.01</v>
      </c>
      <c r="F325" s="399">
        <v>0</v>
      </c>
      <c r="G325" s="399">
        <v>0</v>
      </c>
      <c r="H325" s="399">
        <v>0</v>
      </c>
      <c r="I325" s="399">
        <v>0</v>
      </c>
      <c r="J325" s="399">
        <v>0</v>
      </c>
      <c r="K325" s="399">
        <v>0</v>
      </c>
      <c r="L325" s="399">
        <v>0</v>
      </c>
      <c r="M325" s="399">
        <v>0</v>
      </c>
      <c r="N325" s="399">
        <v>0</v>
      </c>
      <c r="O325" s="399">
        <v>0.01</v>
      </c>
      <c r="P325" s="399">
        <v>0.01</v>
      </c>
      <c r="Q325" s="399">
        <v>0.01</v>
      </c>
      <c r="R325" s="399">
        <v>0.01</v>
      </c>
      <c r="S325" s="399">
        <v>0.01</v>
      </c>
      <c r="T325" s="399">
        <v>0.01</v>
      </c>
      <c r="U325" s="399">
        <v>0.01</v>
      </c>
      <c r="V325" s="402">
        <v>5</v>
      </c>
      <c r="W325" s="402" t="s">
        <v>812</v>
      </c>
      <c r="X325" s="391"/>
      <c r="Y325" s="402"/>
      <c r="Z325" s="395"/>
      <c r="AA325" s="387">
        <f t="shared" si="26"/>
        <v>2012</v>
      </c>
    </row>
    <row r="326" spans="1:27" x14ac:dyDescent="0.2">
      <c r="A326" s="391">
        <f t="shared" si="25"/>
        <v>324</v>
      </c>
      <c r="B326" s="396">
        <v>840</v>
      </c>
      <c r="C326" s="394" t="s">
        <v>909</v>
      </c>
      <c r="D326" s="392">
        <f t="shared" si="28"/>
        <v>1.4999999999999999E-2</v>
      </c>
      <c r="E326" s="392">
        <f t="shared" si="29"/>
        <v>1.4999999999999999E-2</v>
      </c>
      <c r="F326" s="399">
        <v>1.4999999999999999E-2</v>
      </c>
      <c r="G326" s="399">
        <v>1.4999999999999999E-2</v>
      </c>
      <c r="H326" s="399">
        <v>1.4999999999999999E-2</v>
      </c>
      <c r="I326" s="399">
        <v>1.4999999999999999E-2</v>
      </c>
      <c r="J326" s="399">
        <v>1.4999999999999999E-2</v>
      </c>
      <c r="K326" s="399">
        <v>1.4999999999999999E-2</v>
      </c>
      <c r="L326" s="399">
        <v>1.4999999999999999E-2</v>
      </c>
      <c r="M326" s="399">
        <v>1.4999999999999999E-2</v>
      </c>
      <c r="N326" s="399">
        <v>1.4999999999999999E-2</v>
      </c>
      <c r="O326" s="399">
        <v>1.4999999999999999E-2</v>
      </c>
      <c r="P326" s="399">
        <v>1.4999999999999999E-2</v>
      </c>
      <c r="Q326" s="399">
        <v>1.4999999999999999E-2</v>
      </c>
      <c r="R326" s="399">
        <v>1.4999999999999999E-2</v>
      </c>
      <c r="S326" s="399">
        <v>1.4999999999999999E-2</v>
      </c>
      <c r="T326" s="399">
        <v>1.4999999999999999E-2</v>
      </c>
      <c r="U326" s="399">
        <v>1.4999999999999999E-2</v>
      </c>
      <c r="V326" s="402">
        <v>5</v>
      </c>
      <c r="W326" s="391" t="s">
        <v>812</v>
      </c>
      <c r="X326" s="391"/>
      <c r="Y326" s="391" t="s">
        <v>17</v>
      </c>
      <c r="Z326" s="395"/>
      <c r="AA326" s="387">
        <f t="shared" si="26"/>
        <v>1980</v>
      </c>
    </row>
    <row r="327" spans="1:27" x14ac:dyDescent="0.2">
      <c r="A327" s="391">
        <f t="shared" ref="A327:A356" si="30">+A326+1</f>
        <v>325</v>
      </c>
      <c r="B327" s="401">
        <v>842</v>
      </c>
      <c r="C327" s="397" t="s">
        <v>910</v>
      </c>
      <c r="D327" s="392">
        <f t="shared" si="28"/>
        <v>0.01</v>
      </c>
      <c r="E327" s="392">
        <f t="shared" si="29"/>
        <v>0.01</v>
      </c>
      <c r="F327" s="399">
        <v>0.01</v>
      </c>
      <c r="G327" s="399">
        <v>0.01</v>
      </c>
      <c r="H327" s="399">
        <v>0.01</v>
      </c>
      <c r="I327" s="399">
        <v>0.01</v>
      </c>
      <c r="J327" s="399">
        <v>0.01</v>
      </c>
      <c r="K327" s="399">
        <v>0.01</v>
      </c>
      <c r="L327" s="399">
        <v>0.01</v>
      </c>
      <c r="M327" s="399">
        <v>0.01</v>
      </c>
      <c r="N327" s="399">
        <v>0.01</v>
      </c>
      <c r="O327" s="399">
        <v>0.01</v>
      </c>
      <c r="P327" s="399">
        <v>0.01</v>
      </c>
      <c r="Q327" s="399">
        <v>0.01</v>
      </c>
      <c r="R327" s="399">
        <v>0.01</v>
      </c>
      <c r="S327" s="399">
        <v>0.01</v>
      </c>
      <c r="T327" s="399">
        <v>0.01</v>
      </c>
      <c r="U327" s="399">
        <v>0.01</v>
      </c>
      <c r="V327" s="402">
        <v>5</v>
      </c>
      <c r="W327" s="391" t="s">
        <v>812</v>
      </c>
      <c r="X327" s="391"/>
      <c r="Y327" s="391" t="s">
        <v>17</v>
      </c>
      <c r="Z327" s="395"/>
      <c r="AA327" s="387">
        <f t="shared" si="26"/>
        <v>1980</v>
      </c>
    </row>
    <row r="328" spans="1:27" s="773" customFormat="1" x14ac:dyDescent="0.2">
      <c r="A328" s="764">
        <f t="shared" si="30"/>
        <v>326</v>
      </c>
      <c r="B328" s="774">
        <v>848</v>
      </c>
      <c r="C328" s="775" t="s">
        <v>1776</v>
      </c>
      <c r="D328" s="767">
        <f t="shared" si="28"/>
        <v>1.4999999999999999E-2</v>
      </c>
      <c r="E328" s="767">
        <f t="shared" si="29"/>
        <v>1.4999999999999999E-2</v>
      </c>
      <c r="F328" s="767">
        <v>1.4999999999999999E-2</v>
      </c>
      <c r="G328" s="767">
        <v>1.4999999999999999E-2</v>
      </c>
      <c r="H328" s="767">
        <v>1.4999999999999999E-2</v>
      </c>
      <c r="I328" s="767">
        <v>1.4999999999999999E-2</v>
      </c>
      <c r="J328" s="767">
        <v>1.4999999999999999E-2</v>
      </c>
      <c r="K328" s="767">
        <v>1.4999999999999999E-2</v>
      </c>
      <c r="L328" s="767">
        <v>1.4999999999999999E-2</v>
      </c>
      <c r="M328" s="767">
        <v>1.4999999999999999E-2</v>
      </c>
      <c r="N328" s="767">
        <v>1.4999999999999999E-2</v>
      </c>
      <c r="O328" s="767">
        <v>1.4999999999999999E-2</v>
      </c>
      <c r="P328" s="767">
        <v>1.4999999999999999E-2</v>
      </c>
      <c r="Q328" s="767">
        <v>1.4999999999999999E-2</v>
      </c>
      <c r="R328" s="767">
        <v>1.4999999999999999E-2</v>
      </c>
      <c r="S328" s="767">
        <v>1.4999999999999999E-2</v>
      </c>
      <c r="T328" s="767">
        <v>1.4999999999999999E-2</v>
      </c>
      <c r="U328" s="767">
        <v>1.4999999999999999E-2</v>
      </c>
      <c r="V328" s="764">
        <v>5</v>
      </c>
      <c r="W328" s="764" t="s">
        <v>812</v>
      </c>
      <c r="X328" s="764"/>
      <c r="Y328" s="764"/>
      <c r="Z328" s="776"/>
      <c r="AA328" s="772">
        <f t="shared" ref="AA328" si="31">_xlfn.IFNA(MATCH(0,F328:U328,1),-23) + F$2 -1</f>
        <v>1980</v>
      </c>
    </row>
    <row r="329" spans="1:27" x14ac:dyDescent="0.2">
      <c r="A329" s="391">
        <f t="shared" si="30"/>
        <v>327</v>
      </c>
      <c r="B329" s="401">
        <v>860</v>
      </c>
      <c r="C329" s="739" t="s">
        <v>1623</v>
      </c>
      <c r="D329" s="392">
        <f t="shared" si="28"/>
        <v>0.02</v>
      </c>
      <c r="E329" s="392">
        <f t="shared" si="29"/>
        <v>0.02</v>
      </c>
      <c r="F329" s="399">
        <v>0.02</v>
      </c>
      <c r="G329" s="399">
        <v>0.02</v>
      </c>
      <c r="H329" s="399">
        <v>0.02</v>
      </c>
      <c r="I329" s="399">
        <v>0.02</v>
      </c>
      <c r="J329" s="399">
        <v>0.02</v>
      </c>
      <c r="K329" s="399">
        <v>0.02</v>
      </c>
      <c r="L329" s="399">
        <v>0.02</v>
      </c>
      <c r="M329" s="399">
        <v>0.02</v>
      </c>
      <c r="N329" s="399">
        <v>0.02</v>
      </c>
      <c r="O329" s="399">
        <v>0.02</v>
      </c>
      <c r="P329" s="399">
        <v>0.02</v>
      </c>
      <c r="Q329" s="399">
        <v>0.02</v>
      </c>
      <c r="R329" s="399">
        <v>0.02</v>
      </c>
      <c r="S329" s="399">
        <v>0.02</v>
      </c>
      <c r="T329" s="399">
        <v>0.02</v>
      </c>
      <c r="U329" s="399">
        <v>0.02</v>
      </c>
      <c r="V329" s="402">
        <v>5</v>
      </c>
      <c r="W329" s="391" t="s">
        <v>812</v>
      </c>
      <c r="X329" s="391"/>
      <c r="Y329" s="391"/>
      <c r="Z329" s="395"/>
      <c r="AA329" s="387">
        <f t="shared" si="26"/>
        <v>1980</v>
      </c>
    </row>
    <row r="330" spans="1:27" x14ac:dyDescent="0.2">
      <c r="A330" s="402">
        <f t="shared" si="30"/>
        <v>328</v>
      </c>
      <c r="B330" s="401">
        <v>864</v>
      </c>
      <c r="C330" s="397" t="s">
        <v>961</v>
      </c>
      <c r="D330" s="392">
        <f t="shared" si="28"/>
        <v>0.01</v>
      </c>
      <c r="E330" s="392">
        <f t="shared" si="29"/>
        <v>0.01</v>
      </c>
      <c r="F330" s="399">
        <v>0.01</v>
      </c>
      <c r="G330" s="399">
        <v>0.01</v>
      </c>
      <c r="H330" s="399">
        <v>0.01</v>
      </c>
      <c r="I330" s="399">
        <v>0.01</v>
      </c>
      <c r="J330" s="399">
        <v>0.01</v>
      </c>
      <c r="K330" s="399">
        <v>0.01</v>
      </c>
      <c r="L330" s="399">
        <v>0.01</v>
      </c>
      <c r="M330" s="399">
        <v>0.01</v>
      </c>
      <c r="N330" s="399">
        <v>0.01</v>
      </c>
      <c r="O330" s="399">
        <v>0.01</v>
      </c>
      <c r="P330" s="399">
        <v>0.01</v>
      </c>
      <c r="Q330" s="399">
        <v>0.01</v>
      </c>
      <c r="R330" s="399">
        <v>0.01</v>
      </c>
      <c r="S330" s="399">
        <v>0.01</v>
      </c>
      <c r="T330" s="399">
        <v>0.01</v>
      </c>
      <c r="U330" s="399">
        <v>0.01</v>
      </c>
      <c r="V330" s="402">
        <v>3</v>
      </c>
      <c r="W330" s="391" t="s">
        <v>812</v>
      </c>
      <c r="X330" s="391"/>
      <c r="Y330" s="391"/>
      <c r="Z330" s="395"/>
      <c r="AA330" s="387">
        <f t="shared" si="26"/>
        <v>1980</v>
      </c>
    </row>
    <row r="331" spans="1:27" s="773" customFormat="1" x14ac:dyDescent="0.2">
      <c r="A331" s="764">
        <f t="shared" si="30"/>
        <v>329</v>
      </c>
      <c r="B331" s="774">
        <v>865</v>
      </c>
      <c r="C331" s="775" t="s">
        <v>1667</v>
      </c>
      <c r="D331" s="767">
        <f t="shared" ref="D331:D343" si="32">HLOOKUP(D$1,F$2:U$405,(A331+1),FALSE)</f>
        <v>5.0000000000000001E-3</v>
      </c>
      <c r="E331" s="767">
        <f t="shared" ref="E331:E343" si="33">HLOOKUP(D$1+1,F$2:U$405,(A331+1),FALSE)</f>
        <v>0.01</v>
      </c>
      <c r="F331" s="767">
        <v>0</v>
      </c>
      <c r="G331" s="767">
        <v>0</v>
      </c>
      <c r="H331" s="767">
        <v>0</v>
      </c>
      <c r="I331" s="767">
        <v>0</v>
      </c>
      <c r="J331" s="767">
        <v>0</v>
      </c>
      <c r="K331" s="767">
        <v>0</v>
      </c>
      <c r="L331" s="767">
        <v>0</v>
      </c>
      <c r="M331" s="767">
        <v>0</v>
      </c>
      <c r="N331" s="767">
        <v>0</v>
      </c>
      <c r="O331" s="767">
        <v>0</v>
      </c>
      <c r="P331" s="767">
        <v>0</v>
      </c>
      <c r="Q331" s="767">
        <v>0</v>
      </c>
      <c r="R331" s="767">
        <v>0</v>
      </c>
      <c r="S331" s="767">
        <v>0</v>
      </c>
      <c r="T331" s="767">
        <v>5.0000000000000001E-3</v>
      </c>
      <c r="U331" s="767">
        <v>0.01</v>
      </c>
      <c r="V331" s="764">
        <v>3</v>
      </c>
      <c r="W331" s="764" t="s">
        <v>812</v>
      </c>
      <c r="X331" s="779" t="s">
        <v>1654</v>
      </c>
      <c r="Y331" s="764"/>
      <c r="Z331" s="776"/>
      <c r="AA331" s="772">
        <f t="shared" si="26"/>
        <v>2017</v>
      </c>
    </row>
    <row r="332" spans="1:27" x14ac:dyDescent="0.2">
      <c r="A332" s="402">
        <f t="shared" si="30"/>
        <v>330</v>
      </c>
      <c r="B332" s="401">
        <v>866</v>
      </c>
      <c r="C332" s="739" t="s">
        <v>1624</v>
      </c>
      <c r="D332" s="392">
        <f t="shared" si="32"/>
        <v>5.0000000000000001E-3</v>
      </c>
      <c r="E332" s="392">
        <f t="shared" si="33"/>
        <v>5.0000000000000001E-3</v>
      </c>
      <c r="F332" s="399">
        <v>0</v>
      </c>
      <c r="G332" s="399">
        <v>0</v>
      </c>
      <c r="H332" s="399">
        <v>0</v>
      </c>
      <c r="I332" s="399">
        <v>0</v>
      </c>
      <c r="J332" s="399">
        <v>0</v>
      </c>
      <c r="K332" s="399">
        <v>0</v>
      </c>
      <c r="L332" s="399">
        <v>0</v>
      </c>
      <c r="M332" s="399">
        <v>0</v>
      </c>
      <c r="N332" s="399">
        <v>0</v>
      </c>
      <c r="O332" s="399">
        <v>0</v>
      </c>
      <c r="P332" s="399">
        <v>0</v>
      </c>
      <c r="Q332" s="399">
        <v>0</v>
      </c>
      <c r="R332" s="399">
        <v>0</v>
      </c>
      <c r="S332" s="399">
        <v>0</v>
      </c>
      <c r="T332" s="399">
        <v>5.0000000000000001E-3</v>
      </c>
      <c r="U332" s="399">
        <v>5.0000000000000001E-3</v>
      </c>
      <c r="V332" s="402">
        <v>5</v>
      </c>
      <c r="W332" s="391" t="s">
        <v>812</v>
      </c>
      <c r="X332" s="391"/>
      <c r="Y332" s="391"/>
      <c r="Z332" s="395"/>
      <c r="AA332" s="387">
        <f t="shared" si="26"/>
        <v>2017</v>
      </c>
    </row>
    <row r="333" spans="1:27" x14ac:dyDescent="0.2">
      <c r="A333" s="391">
        <f t="shared" si="30"/>
        <v>331</v>
      </c>
      <c r="B333" s="401">
        <v>870</v>
      </c>
      <c r="C333" s="397" t="s">
        <v>489</v>
      </c>
      <c r="D333" s="392">
        <f t="shared" si="32"/>
        <v>0.02</v>
      </c>
      <c r="E333" s="392">
        <f t="shared" si="33"/>
        <v>0.02</v>
      </c>
      <c r="F333" s="399">
        <v>0.02</v>
      </c>
      <c r="G333" s="399">
        <v>0.02</v>
      </c>
      <c r="H333" s="399">
        <v>0.02</v>
      </c>
      <c r="I333" s="399">
        <v>0.02</v>
      </c>
      <c r="J333" s="399">
        <v>0.02</v>
      </c>
      <c r="K333" s="399">
        <v>0.02</v>
      </c>
      <c r="L333" s="399">
        <v>0.02</v>
      </c>
      <c r="M333" s="399">
        <v>0.02</v>
      </c>
      <c r="N333" s="399">
        <v>0.02</v>
      </c>
      <c r="O333" s="399">
        <v>0.02</v>
      </c>
      <c r="P333" s="399">
        <v>0.02</v>
      </c>
      <c r="Q333" s="399">
        <v>0.02</v>
      </c>
      <c r="R333" s="399">
        <v>0.02</v>
      </c>
      <c r="S333" s="399">
        <v>0.02</v>
      </c>
      <c r="T333" s="399">
        <v>0.02</v>
      </c>
      <c r="U333" s="399">
        <v>0.02</v>
      </c>
      <c r="V333" s="402">
        <v>5</v>
      </c>
      <c r="W333" s="391" t="s">
        <v>812</v>
      </c>
      <c r="X333" s="391"/>
      <c r="Y333" s="391"/>
      <c r="Z333" s="395"/>
      <c r="AA333" s="387">
        <f t="shared" ref="AA333:AA343" si="34">_xlfn.IFNA(MATCH(0,F333:U333,1),-23) + F$2 -1</f>
        <v>1980</v>
      </c>
    </row>
    <row r="334" spans="1:27" x14ac:dyDescent="0.2">
      <c r="A334" s="391">
        <f t="shared" si="30"/>
        <v>332</v>
      </c>
      <c r="B334" s="401">
        <v>880</v>
      </c>
      <c r="C334" s="397" t="s">
        <v>1320</v>
      </c>
      <c r="D334" s="392">
        <f t="shared" si="32"/>
        <v>0.02</v>
      </c>
      <c r="E334" s="392">
        <f t="shared" si="33"/>
        <v>0.02</v>
      </c>
      <c r="F334" s="399">
        <v>1.4999999999999999E-2</v>
      </c>
      <c r="G334" s="399">
        <v>1.4999999999999999E-2</v>
      </c>
      <c r="H334" s="399">
        <v>1.4999999999999999E-2</v>
      </c>
      <c r="I334" s="399">
        <v>1.4999999999999999E-2</v>
      </c>
      <c r="J334" s="399">
        <v>1.4999999999999999E-2</v>
      </c>
      <c r="K334" s="399">
        <v>1.4999999999999999E-2</v>
      </c>
      <c r="L334" s="399">
        <v>1.4999999999999999E-2</v>
      </c>
      <c r="M334" s="399">
        <v>0.02</v>
      </c>
      <c r="N334" s="399">
        <v>0.02</v>
      </c>
      <c r="O334" s="399">
        <v>0.02</v>
      </c>
      <c r="P334" s="399">
        <v>0.02</v>
      </c>
      <c r="Q334" s="399">
        <v>0.02</v>
      </c>
      <c r="R334" s="399">
        <v>0.02</v>
      </c>
      <c r="S334" s="399">
        <v>0.02</v>
      </c>
      <c r="T334" s="399">
        <v>0.02</v>
      </c>
      <c r="U334" s="399">
        <v>0.02</v>
      </c>
      <c r="V334" s="402">
        <v>5</v>
      </c>
      <c r="W334" s="391" t="s">
        <v>812</v>
      </c>
      <c r="X334" s="391"/>
      <c r="Y334" s="391"/>
      <c r="Z334" s="395"/>
      <c r="AA334" s="387">
        <f t="shared" si="34"/>
        <v>1980</v>
      </c>
    </row>
    <row r="335" spans="1:27" x14ac:dyDescent="0.2">
      <c r="A335" s="391">
        <f t="shared" si="30"/>
        <v>333</v>
      </c>
      <c r="B335" s="396">
        <v>890</v>
      </c>
      <c r="C335" s="394" t="s">
        <v>911</v>
      </c>
      <c r="D335" s="392">
        <f t="shared" si="32"/>
        <v>0.02</v>
      </c>
      <c r="E335" s="392">
        <f t="shared" si="33"/>
        <v>0.02</v>
      </c>
      <c r="F335" s="399">
        <v>0.02</v>
      </c>
      <c r="G335" s="399">
        <v>0.02</v>
      </c>
      <c r="H335" s="399">
        <v>0.02</v>
      </c>
      <c r="I335" s="399">
        <v>0.02</v>
      </c>
      <c r="J335" s="399">
        <v>0.02</v>
      </c>
      <c r="K335" s="399">
        <v>0.02</v>
      </c>
      <c r="L335" s="399">
        <v>0.02</v>
      </c>
      <c r="M335" s="399">
        <v>0.02</v>
      </c>
      <c r="N335" s="399">
        <v>0.02</v>
      </c>
      <c r="O335" s="399">
        <v>0.02</v>
      </c>
      <c r="P335" s="399">
        <v>0.02</v>
      </c>
      <c r="Q335" s="399">
        <v>0.02</v>
      </c>
      <c r="R335" s="399">
        <v>0.02</v>
      </c>
      <c r="S335" s="399">
        <v>0.02</v>
      </c>
      <c r="T335" s="399">
        <v>0.02</v>
      </c>
      <c r="U335" s="399">
        <v>0.02</v>
      </c>
      <c r="V335" s="402">
        <v>5</v>
      </c>
      <c r="W335" s="391" t="s">
        <v>812</v>
      </c>
      <c r="X335" s="391"/>
      <c r="Y335" s="391" t="s">
        <v>17</v>
      </c>
      <c r="Z335" s="395"/>
      <c r="AA335" s="387">
        <f t="shared" si="34"/>
        <v>1980</v>
      </c>
    </row>
    <row r="336" spans="1:27" x14ac:dyDescent="0.2">
      <c r="A336" s="391">
        <f t="shared" si="30"/>
        <v>334</v>
      </c>
      <c r="B336" s="396">
        <v>892</v>
      </c>
      <c r="C336" s="397" t="s">
        <v>70</v>
      </c>
      <c r="D336" s="392">
        <f t="shared" si="32"/>
        <v>0.01</v>
      </c>
      <c r="E336" s="392">
        <f t="shared" si="33"/>
        <v>0.01</v>
      </c>
      <c r="F336" s="399">
        <v>0.01</v>
      </c>
      <c r="G336" s="399">
        <v>0.01</v>
      </c>
      <c r="H336" s="399">
        <v>0.01</v>
      </c>
      <c r="I336" s="399">
        <v>0.01</v>
      </c>
      <c r="J336" s="399">
        <v>0.01</v>
      </c>
      <c r="K336" s="399">
        <v>0.01</v>
      </c>
      <c r="L336" s="399">
        <v>0.01</v>
      </c>
      <c r="M336" s="399">
        <v>0.01</v>
      </c>
      <c r="N336" s="399">
        <v>0.01</v>
      </c>
      <c r="O336" s="399">
        <v>0.01</v>
      </c>
      <c r="P336" s="399">
        <v>0.01</v>
      </c>
      <c r="Q336" s="399">
        <v>0.01</v>
      </c>
      <c r="R336" s="399">
        <v>0.01</v>
      </c>
      <c r="S336" s="399">
        <v>0.01</v>
      </c>
      <c r="T336" s="399">
        <v>0.01</v>
      </c>
      <c r="U336" s="399">
        <v>0.01</v>
      </c>
      <c r="V336" s="402">
        <v>0</v>
      </c>
      <c r="W336" s="391" t="s">
        <v>687</v>
      </c>
      <c r="X336" s="391"/>
      <c r="Y336" s="391"/>
      <c r="Z336" s="395"/>
      <c r="AA336" s="387">
        <f t="shared" si="34"/>
        <v>1980</v>
      </c>
    </row>
    <row r="337" spans="1:27" s="773" customFormat="1" x14ac:dyDescent="0.2">
      <c r="A337" s="764">
        <f t="shared" si="30"/>
        <v>335</v>
      </c>
      <c r="B337" s="774">
        <v>893</v>
      </c>
      <c r="C337" s="775" t="s">
        <v>1668</v>
      </c>
      <c r="D337" s="767">
        <f t="shared" si="32"/>
        <v>1.4999999999999999E-2</v>
      </c>
      <c r="E337" s="767">
        <f t="shared" si="33"/>
        <v>1.4999999999999999E-2</v>
      </c>
      <c r="F337" s="767">
        <v>1.4999999999999999E-2</v>
      </c>
      <c r="G337" s="767">
        <v>1.4999999999999999E-2</v>
      </c>
      <c r="H337" s="767">
        <v>1.4999999999999999E-2</v>
      </c>
      <c r="I337" s="767">
        <v>1.4999999999999999E-2</v>
      </c>
      <c r="J337" s="767">
        <v>1.4999999999999999E-2</v>
      </c>
      <c r="K337" s="767">
        <v>1.4999999999999999E-2</v>
      </c>
      <c r="L337" s="767">
        <v>1.4999999999999999E-2</v>
      </c>
      <c r="M337" s="767">
        <v>1.4999999999999999E-2</v>
      </c>
      <c r="N337" s="767">
        <v>1.4999999999999999E-2</v>
      </c>
      <c r="O337" s="767">
        <v>1.4999999999999999E-2</v>
      </c>
      <c r="P337" s="767">
        <v>1.4999999999999999E-2</v>
      </c>
      <c r="Q337" s="767">
        <v>1.4999999999999999E-2</v>
      </c>
      <c r="R337" s="767">
        <v>1.4999999999999999E-2</v>
      </c>
      <c r="S337" s="767">
        <v>1.4999999999999999E-2</v>
      </c>
      <c r="T337" s="767">
        <v>1.4999999999999999E-2</v>
      </c>
      <c r="U337" s="767">
        <v>1.4999999999999999E-2</v>
      </c>
      <c r="V337" s="764">
        <v>0</v>
      </c>
      <c r="W337" s="764" t="s">
        <v>687</v>
      </c>
      <c r="X337" s="764"/>
      <c r="Y337" s="764" t="s">
        <v>17</v>
      </c>
      <c r="Z337" s="776"/>
      <c r="AA337" s="772">
        <f t="shared" si="34"/>
        <v>1980</v>
      </c>
    </row>
    <row r="338" spans="1:27" x14ac:dyDescent="0.2">
      <c r="A338" s="391">
        <f t="shared" si="30"/>
        <v>336</v>
      </c>
      <c r="B338" s="396">
        <v>894</v>
      </c>
      <c r="C338" s="394" t="s">
        <v>1002</v>
      </c>
      <c r="D338" s="392">
        <f t="shared" si="32"/>
        <v>0.01</v>
      </c>
      <c r="E338" s="392">
        <f t="shared" si="33"/>
        <v>0.01</v>
      </c>
      <c r="F338" s="399">
        <v>0.01</v>
      </c>
      <c r="G338" s="399">
        <v>0.01</v>
      </c>
      <c r="H338" s="399">
        <v>0.01</v>
      </c>
      <c r="I338" s="399">
        <v>0.01</v>
      </c>
      <c r="J338" s="399">
        <v>0.01</v>
      </c>
      <c r="K338" s="399">
        <v>0.01</v>
      </c>
      <c r="L338" s="399">
        <v>0.01</v>
      </c>
      <c r="M338" s="399">
        <v>0.01</v>
      </c>
      <c r="N338" s="399">
        <v>0.01</v>
      </c>
      <c r="O338" s="399">
        <v>0.01</v>
      </c>
      <c r="P338" s="399">
        <v>0.01</v>
      </c>
      <c r="Q338" s="399">
        <v>0.01</v>
      </c>
      <c r="R338" s="399">
        <v>0.01</v>
      </c>
      <c r="S338" s="399">
        <v>0.01</v>
      </c>
      <c r="T338" s="399">
        <v>0.01</v>
      </c>
      <c r="U338" s="399">
        <v>0.01</v>
      </c>
      <c r="V338" s="402">
        <v>5</v>
      </c>
      <c r="W338" s="391" t="s">
        <v>812</v>
      </c>
      <c r="X338" s="391"/>
      <c r="Y338" s="391" t="s">
        <v>17</v>
      </c>
      <c r="Z338" s="395"/>
      <c r="AA338" s="387">
        <f t="shared" si="34"/>
        <v>1980</v>
      </c>
    </row>
    <row r="339" spans="1:27" x14ac:dyDescent="0.2">
      <c r="A339" s="391">
        <f t="shared" si="30"/>
        <v>337</v>
      </c>
      <c r="B339" s="396">
        <v>900</v>
      </c>
      <c r="C339" s="394" t="s">
        <v>1003</v>
      </c>
      <c r="D339" s="392">
        <f t="shared" si="32"/>
        <v>2.5000000000000001E-2</v>
      </c>
      <c r="E339" s="392">
        <f t="shared" si="33"/>
        <v>2.5000000000000001E-2</v>
      </c>
      <c r="F339" s="399">
        <v>0.02</v>
      </c>
      <c r="G339" s="399">
        <v>0.02</v>
      </c>
      <c r="H339" s="399">
        <v>0.02</v>
      </c>
      <c r="I339" s="399">
        <v>0.02</v>
      </c>
      <c r="J339" s="399">
        <v>0.02</v>
      </c>
      <c r="K339" s="399">
        <v>0.02</v>
      </c>
      <c r="L339" s="399">
        <v>2.5000000000000001E-2</v>
      </c>
      <c r="M339" s="399">
        <v>2.5000000000000001E-2</v>
      </c>
      <c r="N339" s="399">
        <v>2.5000000000000001E-2</v>
      </c>
      <c r="O339" s="399">
        <v>2.5000000000000001E-2</v>
      </c>
      <c r="P339" s="399">
        <v>2.5000000000000001E-2</v>
      </c>
      <c r="Q339" s="399">
        <v>2.5000000000000001E-2</v>
      </c>
      <c r="R339" s="399">
        <v>2.5000000000000001E-2</v>
      </c>
      <c r="S339" s="399">
        <v>2.5000000000000001E-2</v>
      </c>
      <c r="T339" s="399">
        <v>2.5000000000000001E-2</v>
      </c>
      <c r="U339" s="399">
        <v>2.5000000000000001E-2</v>
      </c>
      <c r="V339" s="402">
        <v>5</v>
      </c>
      <c r="W339" s="391" t="s">
        <v>812</v>
      </c>
      <c r="X339" s="391"/>
      <c r="Y339" s="391" t="s">
        <v>17</v>
      </c>
      <c r="Z339" s="395"/>
      <c r="AA339" s="387">
        <f t="shared" si="34"/>
        <v>1980</v>
      </c>
    </row>
    <row r="340" spans="1:27" x14ac:dyDescent="0.2">
      <c r="A340" s="391">
        <f t="shared" si="30"/>
        <v>338</v>
      </c>
      <c r="B340" s="401">
        <v>901</v>
      </c>
      <c r="C340" s="397" t="s">
        <v>1004</v>
      </c>
      <c r="D340" s="392">
        <f t="shared" si="32"/>
        <v>0.01</v>
      </c>
      <c r="E340" s="392">
        <f t="shared" si="33"/>
        <v>0.01</v>
      </c>
      <c r="F340" s="399">
        <v>0</v>
      </c>
      <c r="G340" s="399">
        <v>0</v>
      </c>
      <c r="H340" s="399">
        <v>0.01</v>
      </c>
      <c r="I340" s="399">
        <v>0.01</v>
      </c>
      <c r="J340" s="399">
        <v>0.01</v>
      </c>
      <c r="K340" s="399">
        <v>0.01</v>
      </c>
      <c r="L340" s="399">
        <v>0.01</v>
      </c>
      <c r="M340" s="399">
        <v>0.01</v>
      </c>
      <c r="N340" s="399">
        <v>0.01</v>
      </c>
      <c r="O340" s="399">
        <v>0.01</v>
      </c>
      <c r="P340" s="399">
        <v>0.01</v>
      </c>
      <c r="Q340" s="399">
        <v>0.01</v>
      </c>
      <c r="R340" s="399">
        <v>0.01</v>
      </c>
      <c r="S340" s="399">
        <v>0.01</v>
      </c>
      <c r="T340" s="399">
        <v>0.01</v>
      </c>
      <c r="U340" s="399">
        <v>0.01</v>
      </c>
      <c r="V340" s="402">
        <v>5</v>
      </c>
      <c r="W340" s="391" t="s">
        <v>812</v>
      </c>
      <c r="X340" s="391"/>
      <c r="Y340" s="391" t="s">
        <v>18</v>
      </c>
      <c r="Z340" s="395"/>
      <c r="AA340" s="387">
        <f t="shared" si="34"/>
        <v>2005</v>
      </c>
    </row>
    <row r="341" spans="1:27" x14ac:dyDescent="0.2">
      <c r="A341" s="391">
        <f t="shared" si="30"/>
        <v>339</v>
      </c>
      <c r="B341" s="396">
        <v>904</v>
      </c>
      <c r="C341" s="394" t="s">
        <v>1005</v>
      </c>
      <c r="D341" s="392">
        <f t="shared" si="32"/>
        <v>2.5000000000000001E-2</v>
      </c>
      <c r="E341" s="392">
        <f t="shared" si="33"/>
        <v>2.5000000000000001E-2</v>
      </c>
      <c r="F341" s="398">
        <v>0.02</v>
      </c>
      <c r="G341" s="399">
        <v>0.02</v>
      </c>
      <c r="H341" s="399">
        <v>0.02</v>
      </c>
      <c r="I341" s="399">
        <v>0.02</v>
      </c>
      <c r="J341" s="399">
        <v>0.02</v>
      </c>
      <c r="K341" s="399">
        <v>0.02</v>
      </c>
      <c r="L341" s="399">
        <v>2.5000000000000001E-2</v>
      </c>
      <c r="M341" s="399">
        <v>2.5000000000000001E-2</v>
      </c>
      <c r="N341" s="399">
        <v>2.5000000000000001E-2</v>
      </c>
      <c r="O341" s="399">
        <v>2.5000000000000001E-2</v>
      </c>
      <c r="P341" s="399">
        <v>2.5000000000000001E-2</v>
      </c>
      <c r="Q341" s="399">
        <v>2.5000000000000001E-2</v>
      </c>
      <c r="R341" s="399">
        <v>2.5000000000000001E-2</v>
      </c>
      <c r="S341" s="399">
        <v>2.5000000000000001E-2</v>
      </c>
      <c r="T341" s="399">
        <v>2.5000000000000001E-2</v>
      </c>
      <c r="U341" s="399">
        <v>2.5000000000000001E-2</v>
      </c>
      <c r="V341" s="402">
        <v>0</v>
      </c>
      <c r="W341" s="391" t="s">
        <v>687</v>
      </c>
      <c r="X341" s="391"/>
      <c r="Y341" s="400" t="s">
        <v>19</v>
      </c>
      <c r="Z341" s="395"/>
      <c r="AA341" s="387">
        <f t="shared" si="34"/>
        <v>1980</v>
      </c>
    </row>
    <row r="342" spans="1:27" x14ac:dyDescent="0.2">
      <c r="A342" s="391">
        <f t="shared" si="30"/>
        <v>340</v>
      </c>
      <c r="B342" s="396">
        <v>906</v>
      </c>
      <c r="C342" s="394" t="s">
        <v>1006</v>
      </c>
      <c r="D342" s="392">
        <f t="shared" si="32"/>
        <v>1.4999999999999999E-2</v>
      </c>
      <c r="E342" s="392">
        <f t="shared" si="33"/>
        <v>1.4999999999999999E-2</v>
      </c>
      <c r="F342" s="398">
        <v>1.4999999999999999E-2</v>
      </c>
      <c r="G342" s="399">
        <v>1.4999999999999999E-2</v>
      </c>
      <c r="H342" s="399">
        <v>1.4999999999999999E-2</v>
      </c>
      <c r="I342" s="399">
        <v>1.4999999999999999E-2</v>
      </c>
      <c r="J342" s="399">
        <v>1.4999999999999999E-2</v>
      </c>
      <c r="K342" s="399">
        <v>1.4999999999999999E-2</v>
      </c>
      <c r="L342" s="399">
        <v>1.4999999999999999E-2</v>
      </c>
      <c r="M342" s="399">
        <v>1.4999999999999999E-2</v>
      </c>
      <c r="N342" s="399">
        <v>1.4999999999999999E-2</v>
      </c>
      <c r="O342" s="399">
        <v>1.4999999999999999E-2</v>
      </c>
      <c r="P342" s="399">
        <v>1.4999999999999999E-2</v>
      </c>
      <c r="Q342" s="399">
        <v>1.4999999999999999E-2</v>
      </c>
      <c r="R342" s="399">
        <v>1.4999999999999999E-2</v>
      </c>
      <c r="S342" s="399">
        <v>1.4999999999999999E-2</v>
      </c>
      <c r="T342" s="399">
        <v>1.4999999999999999E-2</v>
      </c>
      <c r="U342" s="399">
        <v>1.4999999999999999E-2</v>
      </c>
      <c r="V342" s="402">
        <v>0</v>
      </c>
      <c r="W342" s="391" t="s">
        <v>687</v>
      </c>
      <c r="X342" s="391"/>
      <c r="Y342" s="391" t="s">
        <v>17</v>
      </c>
      <c r="Z342" s="395"/>
      <c r="AA342" s="387">
        <f t="shared" si="34"/>
        <v>1980</v>
      </c>
    </row>
    <row r="343" spans="1:27" x14ac:dyDescent="0.2">
      <c r="A343" s="391">
        <f t="shared" si="30"/>
        <v>341</v>
      </c>
      <c r="B343" s="396">
        <v>907</v>
      </c>
      <c r="C343" s="394" t="s">
        <v>1007</v>
      </c>
      <c r="D343" s="392">
        <f t="shared" si="32"/>
        <v>2.75E-2</v>
      </c>
      <c r="E343" s="392">
        <f t="shared" si="33"/>
        <v>2.75E-2</v>
      </c>
      <c r="F343" s="399">
        <v>2.75E-2</v>
      </c>
      <c r="G343" s="399">
        <v>2.75E-2</v>
      </c>
      <c r="H343" s="399">
        <v>2.75E-2</v>
      </c>
      <c r="I343" s="399">
        <v>2.75E-2</v>
      </c>
      <c r="J343" s="399">
        <v>2.75E-2</v>
      </c>
      <c r="K343" s="399">
        <v>2.75E-2</v>
      </c>
      <c r="L343" s="399">
        <v>2.75E-2</v>
      </c>
      <c r="M343" s="399">
        <v>2.75E-2</v>
      </c>
      <c r="N343" s="399">
        <v>2.75E-2</v>
      </c>
      <c r="O343" s="399">
        <v>2.75E-2</v>
      </c>
      <c r="P343" s="399">
        <v>2.75E-2</v>
      </c>
      <c r="Q343" s="399">
        <v>2.75E-2</v>
      </c>
      <c r="R343" s="399">
        <v>2.75E-2</v>
      </c>
      <c r="S343" s="399">
        <v>2.75E-2</v>
      </c>
      <c r="T343" s="399">
        <v>2.75E-2</v>
      </c>
      <c r="U343" s="399">
        <v>2.75E-2</v>
      </c>
      <c r="V343" s="402">
        <v>5</v>
      </c>
      <c r="W343" s="391" t="s">
        <v>812</v>
      </c>
      <c r="X343" s="391"/>
      <c r="Y343" s="391" t="s">
        <v>17</v>
      </c>
      <c r="Z343" s="395"/>
      <c r="AA343" s="387">
        <f t="shared" si="34"/>
        <v>1980</v>
      </c>
    </row>
    <row r="344" spans="1:27" x14ac:dyDescent="0.2">
      <c r="A344" s="391">
        <f>+A343+1</f>
        <v>342</v>
      </c>
      <c r="J344" s="319"/>
      <c r="K344" s="319"/>
      <c r="L344" s="319"/>
      <c r="M344" s="319"/>
      <c r="N344" s="319"/>
      <c r="O344" s="319"/>
      <c r="P344" s="319"/>
      <c r="Q344" s="319"/>
      <c r="R344" s="319"/>
      <c r="S344" s="319"/>
      <c r="T344" s="319"/>
      <c r="U344" s="319"/>
    </row>
    <row r="345" spans="1:27" x14ac:dyDescent="0.2">
      <c r="A345" s="391">
        <f t="shared" si="30"/>
        <v>343</v>
      </c>
      <c r="J345" s="319"/>
      <c r="K345" s="319"/>
      <c r="L345" s="319"/>
      <c r="M345" s="319"/>
      <c r="N345" s="319"/>
      <c r="O345" s="319"/>
      <c r="P345" s="319"/>
      <c r="Q345" s="319"/>
      <c r="R345" s="319"/>
      <c r="S345" s="319"/>
      <c r="T345" s="319"/>
      <c r="U345" s="319"/>
    </row>
    <row r="346" spans="1:27" x14ac:dyDescent="0.2">
      <c r="A346" s="391">
        <f t="shared" si="30"/>
        <v>344</v>
      </c>
      <c r="J346" s="319"/>
      <c r="K346" s="319"/>
      <c r="L346" s="319"/>
      <c r="M346" s="319"/>
      <c r="N346" s="319"/>
      <c r="O346" s="319"/>
      <c r="P346" s="319"/>
      <c r="Q346" s="319"/>
      <c r="R346" s="319"/>
      <c r="S346" s="319"/>
      <c r="T346" s="319"/>
      <c r="U346" s="319"/>
    </row>
    <row r="347" spans="1:27" x14ac:dyDescent="0.2">
      <c r="A347" s="27">
        <f t="shared" si="30"/>
        <v>345</v>
      </c>
      <c r="J347" s="319"/>
      <c r="K347" s="319"/>
      <c r="L347" s="319"/>
      <c r="M347" s="319"/>
      <c r="N347" s="319"/>
      <c r="O347" s="319"/>
      <c r="P347" s="319"/>
      <c r="Q347" s="319"/>
      <c r="R347" s="319"/>
      <c r="S347" s="319"/>
      <c r="T347" s="319"/>
      <c r="U347" s="319"/>
    </row>
    <row r="348" spans="1:27" x14ac:dyDescent="0.2">
      <c r="A348" s="27">
        <f t="shared" si="30"/>
        <v>346</v>
      </c>
      <c r="J348" s="319"/>
      <c r="K348" s="319"/>
      <c r="L348" s="319"/>
      <c r="M348" s="319"/>
      <c r="N348" s="319"/>
      <c r="O348" s="319"/>
      <c r="P348" s="319"/>
      <c r="Q348" s="319"/>
      <c r="R348" s="319"/>
      <c r="S348" s="319"/>
      <c r="T348" s="319"/>
      <c r="U348" s="319"/>
    </row>
    <row r="349" spans="1:27" x14ac:dyDescent="0.2">
      <c r="A349" s="27">
        <f t="shared" si="30"/>
        <v>347</v>
      </c>
      <c r="J349" s="319"/>
      <c r="K349" s="319"/>
      <c r="L349" s="319"/>
      <c r="M349" s="319"/>
      <c r="N349" s="319"/>
      <c r="O349" s="319"/>
      <c r="P349" s="319"/>
      <c r="Q349" s="319"/>
      <c r="R349" s="319"/>
      <c r="S349" s="319"/>
      <c r="T349" s="319"/>
      <c r="U349" s="319"/>
    </row>
    <row r="350" spans="1:27" x14ac:dyDescent="0.2">
      <c r="A350" s="27">
        <f t="shared" si="30"/>
        <v>348</v>
      </c>
      <c r="J350" s="319"/>
      <c r="K350" s="319"/>
      <c r="L350" s="319"/>
      <c r="M350" s="319"/>
      <c r="N350" s="319"/>
      <c r="O350" s="319"/>
      <c r="P350" s="319"/>
      <c r="Q350" s="319"/>
      <c r="R350" s="319"/>
      <c r="S350" s="319"/>
      <c r="T350" s="319"/>
      <c r="U350" s="319"/>
    </row>
    <row r="351" spans="1:27" x14ac:dyDescent="0.2">
      <c r="A351" s="27">
        <f t="shared" si="30"/>
        <v>349</v>
      </c>
      <c r="J351" s="319"/>
      <c r="K351" s="319"/>
      <c r="L351" s="319"/>
      <c r="M351" s="319"/>
      <c r="N351" s="319"/>
      <c r="O351" s="319"/>
      <c r="P351" s="319"/>
      <c r="Q351" s="319"/>
      <c r="R351" s="319"/>
      <c r="S351" s="319"/>
      <c r="T351" s="319"/>
      <c r="U351" s="319"/>
    </row>
    <row r="352" spans="1:27" x14ac:dyDescent="0.2">
      <c r="A352" s="27">
        <f t="shared" si="30"/>
        <v>350</v>
      </c>
      <c r="J352" s="319"/>
      <c r="K352" s="319"/>
      <c r="L352" s="319"/>
      <c r="M352" s="319"/>
      <c r="N352" s="319"/>
      <c r="O352" s="319"/>
      <c r="P352" s="319"/>
      <c r="Q352" s="319"/>
      <c r="R352" s="319"/>
      <c r="S352" s="319"/>
      <c r="T352" s="319"/>
      <c r="U352" s="319"/>
    </row>
    <row r="353" spans="1:21" x14ac:dyDescent="0.2">
      <c r="A353" s="27">
        <f t="shared" si="30"/>
        <v>351</v>
      </c>
      <c r="J353" s="319"/>
      <c r="K353" s="319"/>
      <c r="L353" s="319"/>
      <c r="M353" s="319"/>
      <c r="N353" s="319"/>
      <c r="O353" s="319"/>
      <c r="P353" s="319"/>
      <c r="Q353" s="319"/>
      <c r="R353" s="319"/>
      <c r="S353" s="319"/>
      <c r="T353" s="319"/>
      <c r="U353" s="319"/>
    </row>
    <row r="354" spans="1:21" x14ac:dyDescent="0.2">
      <c r="A354" s="27">
        <f t="shared" si="30"/>
        <v>352</v>
      </c>
      <c r="J354" s="319"/>
      <c r="K354" s="319"/>
      <c r="L354" s="319"/>
      <c r="M354" s="319"/>
      <c r="N354" s="319"/>
      <c r="O354" s="319"/>
      <c r="P354" s="319"/>
      <c r="Q354" s="319"/>
      <c r="R354" s="319"/>
      <c r="S354" s="319"/>
      <c r="T354" s="319"/>
      <c r="U354" s="319"/>
    </row>
    <row r="355" spans="1:21" x14ac:dyDescent="0.2">
      <c r="A355" s="27">
        <f t="shared" si="30"/>
        <v>353</v>
      </c>
      <c r="J355" s="319"/>
      <c r="K355" s="319"/>
      <c r="L355" s="319"/>
      <c r="M355" s="319"/>
      <c r="N355" s="319"/>
      <c r="O355" s="319"/>
      <c r="P355" s="319"/>
      <c r="Q355" s="319"/>
      <c r="R355" s="319"/>
      <c r="S355" s="319"/>
      <c r="T355" s="319"/>
      <c r="U355" s="319"/>
    </row>
    <row r="356" spans="1:21" x14ac:dyDescent="0.2">
      <c r="A356" s="27">
        <f t="shared" si="30"/>
        <v>354</v>
      </c>
      <c r="J356" s="319"/>
      <c r="K356" s="319"/>
      <c r="L356" s="319"/>
      <c r="M356" s="319"/>
      <c r="N356" s="319"/>
      <c r="O356" s="319"/>
      <c r="P356" s="319"/>
      <c r="Q356" s="319"/>
      <c r="R356" s="319"/>
      <c r="S356" s="319"/>
      <c r="T356" s="319"/>
      <c r="U356" s="319"/>
    </row>
    <row r="357" spans="1:21" x14ac:dyDescent="0.2">
      <c r="J357" s="319"/>
      <c r="K357" s="319"/>
      <c r="L357" s="319"/>
      <c r="M357" s="319"/>
      <c r="N357" s="319"/>
      <c r="O357" s="319"/>
      <c r="P357" s="319"/>
      <c r="Q357" s="319"/>
      <c r="R357" s="319"/>
      <c r="S357" s="319"/>
      <c r="T357" s="319"/>
      <c r="U357" s="319"/>
    </row>
    <row r="358" spans="1:21" x14ac:dyDescent="0.2">
      <c r="J358" s="319"/>
      <c r="K358" s="319"/>
      <c r="L358" s="319"/>
      <c r="M358" s="319"/>
      <c r="N358" s="319"/>
      <c r="O358" s="319"/>
      <c r="P358" s="319"/>
      <c r="Q358" s="319"/>
      <c r="R358" s="319"/>
      <c r="S358" s="319"/>
      <c r="T358" s="319"/>
      <c r="U358" s="319"/>
    </row>
  </sheetData>
  <sheetProtection algorithmName="SHA-512" hashValue="OBtP46ALRryyI1VFOvH/IVY5IaKK7mLsjzOwfQLN4qKXUBgpqJOqWnYS3JoLc7lV9+i6jhKlh6natvzjZXdAAg==" saltValue="dxWFm6PQOcx/C1W3MlsPqg==" spinCount="100000" sheet="1" objects="1" scenarios="1"/>
  <phoneticPr fontId="2" type="noConversion"/>
  <pageMargins left="0.75" right="0.75" top="1" bottom="1" header="0.5" footer="0.5"/>
  <pageSetup scale="57" fitToHeight="3"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3"/>
  <dimension ref="A1:BA343"/>
  <sheetViews>
    <sheetView workbookViewId="0">
      <pane xSplit="3" ySplit="3" topLeftCell="D4" activePane="bottomRight" state="frozen"/>
      <selection activeCell="E31" sqref="E31"/>
      <selection pane="topRight" activeCell="E31" sqref="E31"/>
      <selection pane="bottomLeft" activeCell="E31" sqref="E31"/>
      <selection pane="bottomRight" activeCell="A3" sqref="A3"/>
    </sheetView>
  </sheetViews>
  <sheetFormatPr defaultRowHeight="11.25" x14ac:dyDescent="0.2"/>
  <cols>
    <col min="1" max="1" width="8.7109375" style="1" bestFit="1" customWidth="1"/>
    <col min="2" max="2" width="7.140625" style="1" bestFit="1" customWidth="1"/>
    <col min="3" max="3" width="31.42578125" style="1" bestFit="1" customWidth="1"/>
    <col min="4" max="4" width="6.42578125" style="463" customWidth="1"/>
    <col min="5" max="5" width="7.7109375" style="213" customWidth="1"/>
    <col min="6" max="6" width="6.42578125" style="213" customWidth="1"/>
    <col min="7" max="7" width="10.28515625" style="452" customWidth="1"/>
    <col min="8" max="8" width="10.28515625" style="453" customWidth="1"/>
    <col min="9" max="9" width="6.42578125" style="463" customWidth="1"/>
    <col min="10" max="11" width="6.42578125" style="213" customWidth="1"/>
    <col min="12" max="12" width="10.28515625" style="452" customWidth="1"/>
    <col min="13" max="13" width="10.28515625" style="453" customWidth="1"/>
    <col min="14" max="14" width="6.42578125" style="463" customWidth="1"/>
    <col min="15" max="16" width="6.42578125" style="213" customWidth="1"/>
    <col min="17" max="17" width="10.28515625" style="452" customWidth="1"/>
    <col min="18" max="18" width="10.28515625" style="453" customWidth="1"/>
    <col min="19" max="19" width="6.42578125" style="463" customWidth="1"/>
    <col min="20" max="21" width="6.42578125" style="213" customWidth="1"/>
    <col min="22" max="22" width="10.28515625" style="452" customWidth="1"/>
    <col min="23" max="23" width="10.28515625" style="453" customWidth="1"/>
    <col min="24" max="24" width="6.42578125" style="463" customWidth="1"/>
    <col min="25" max="26" width="6.42578125" style="213" customWidth="1"/>
    <col min="27" max="27" width="10.28515625" style="452" customWidth="1"/>
    <col min="28" max="28" width="10.28515625" style="453" customWidth="1"/>
    <col min="29" max="29" width="6.42578125" style="463" customWidth="1"/>
    <col min="30" max="31" width="6.42578125" style="213" customWidth="1"/>
    <col min="32" max="32" width="10.28515625" style="452" customWidth="1"/>
    <col min="33" max="33" width="10.28515625" style="453" customWidth="1"/>
    <col min="34" max="34" width="6.42578125" style="463" customWidth="1"/>
    <col min="35" max="36" width="6.42578125" style="213" customWidth="1"/>
    <col min="37" max="37" width="10.28515625" style="452" customWidth="1"/>
    <col min="38" max="38" width="10.28515625" style="453" customWidth="1"/>
    <col min="39" max="39" width="6.42578125" style="463" customWidth="1"/>
    <col min="40" max="41" width="6.42578125" style="213" customWidth="1"/>
    <col min="42" max="42" width="10.28515625" style="452" customWidth="1"/>
    <col min="43" max="43" width="10.28515625" style="453" customWidth="1"/>
    <col min="44" max="44" width="6.42578125" style="463" customWidth="1"/>
    <col min="45" max="46" width="6.42578125" style="213" customWidth="1"/>
    <col min="47" max="47" width="10.28515625" style="452" customWidth="1"/>
    <col min="48" max="48" width="10.28515625" style="453" customWidth="1"/>
    <col min="49" max="49" width="6.42578125" style="463" customWidth="1"/>
    <col min="50" max="51" width="6.42578125" style="213" customWidth="1"/>
    <col min="52" max="52" width="10.28515625" style="452" customWidth="1"/>
    <col min="53" max="53" width="10.28515625" style="453" customWidth="1"/>
    <col min="54" max="16384" width="9.140625" style="1"/>
  </cols>
  <sheetData>
    <row r="1" spans="1:53" s="442" customFormat="1" x14ac:dyDescent="0.2">
      <c r="A1" s="1514" t="s">
        <v>164</v>
      </c>
      <c r="B1" s="1516" t="s">
        <v>165</v>
      </c>
      <c r="C1" s="1518" t="s">
        <v>166</v>
      </c>
      <c r="D1" s="438" t="s">
        <v>1017</v>
      </c>
      <c r="E1" s="439"/>
      <c r="F1" s="439"/>
      <c r="G1" s="440"/>
      <c r="H1" s="441"/>
      <c r="I1" s="438" t="s">
        <v>1020</v>
      </c>
      <c r="J1" s="439"/>
      <c r="K1" s="439"/>
      <c r="L1" s="440"/>
      <c r="M1" s="441"/>
      <c r="N1" s="438" t="s">
        <v>1021</v>
      </c>
      <c r="O1" s="439"/>
      <c r="P1" s="439"/>
      <c r="Q1" s="440"/>
      <c r="R1" s="441"/>
      <c r="S1" s="438" t="s">
        <v>1022</v>
      </c>
      <c r="T1" s="439"/>
      <c r="U1" s="439"/>
      <c r="V1" s="440"/>
      <c r="W1" s="441"/>
      <c r="X1" s="438" t="s">
        <v>1023</v>
      </c>
      <c r="Y1" s="439"/>
      <c r="Z1" s="439"/>
      <c r="AA1" s="440"/>
      <c r="AB1" s="441"/>
      <c r="AC1" s="438" t="s">
        <v>1024</v>
      </c>
      <c r="AD1" s="439"/>
      <c r="AE1" s="439"/>
      <c r="AF1" s="440"/>
      <c r="AG1" s="441"/>
      <c r="AH1" s="438" t="s">
        <v>1025</v>
      </c>
      <c r="AI1" s="439"/>
      <c r="AJ1" s="439"/>
      <c r="AK1" s="440"/>
      <c r="AL1" s="441"/>
      <c r="AM1" s="438" t="s">
        <v>1026</v>
      </c>
      <c r="AN1" s="439"/>
      <c r="AO1" s="439"/>
      <c r="AP1" s="440"/>
      <c r="AQ1" s="441"/>
      <c r="AR1" s="438" t="s">
        <v>1027</v>
      </c>
      <c r="AS1" s="439"/>
      <c r="AT1" s="439"/>
      <c r="AU1" s="440"/>
      <c r="AV1" s="441"/>
      <c r="AW1" s="438" t="s">
        <v>1028</v>
      </c>
      <c r="AX1" s="439"/>
      <c r="AY1" s="439"/>
      <c r="AZ1" s="440"/>
      <c r="BA1" s="441"/>
    </row>
    <row r="2" spans="1:53" ht="22.5" x14ac:dyDescent="0.2">
      <c r="A2" s="1515"/>
      <c r="B2" s="1517"/>
      <c r="C2" s="1519"/>
      <c r="D2" s="443" t="s">
        <v>1019</v>
      </c>
      <c r="E2" s="444" t="s">
        <v>154</v>
      </c>
      <c r="F2" s="444" t="s">
        <v>527</v>
      </c>
      <c r="G2" s="445" t="s">
        <v>1018</v>
      </c>
      <c r="H2" s="446" t="s">
        <v>1195</v>
      </c>
      <c r="I2" s="443" t="s">
        <v>1019</v>
      </c>
      <c r="J2" s="444" t="s">
        <v>154</v>
      </c>
      <c r="K2" s="444" t="s">
        <v>527</v>
      </c>
      <c r="L2" s="445" t="s">
        <v>1018</v>
      </c>
      <c r="M2" s="446" t="s">
        <v>1195</v>
      </c>
      <c r="N2" s="443" t="s">
        <v>1019</v>
      </c>
      <c r="O2" s="444" t="s">
        <v>154</v>
      </c>
      <c r="P2" s="444" t="s">
        <v>527</v>
      </c>
      <c r="Q2" s="445" t="s">
        <v>1018</v>
      </c>
      <c r="R2" s="446" t="s">
        <v>1195</v>
      </c>
      <c r="S2" s="443" t="s">
        <v>1019</v>
      </c>
      <c r="T2" s="444" t="s">
        <v>154</v>
      </c>
      <c r="U2" s="444" t="s">
        <v>527</v>
      </c>
      <c r="V2" s="445" t="s">
        <v>1018</v>
      </c>
      <c r="W2" s="446" t="s">
        <v>1195</v>
      </c>
      <c r="X2" s="443" t="s">
        <v>1019</v>
      </c>
      <c r="Y2" s="444" t="s">
        <v>154</v>
      </c>
      <c r="Z2" s="444" t="s">
        <v>527</v>
      </c>
      <c r="AA2" s="445" t="s">
        <v>1018</v>
      </c>
      <c r="AB2" s="446" t="s">
        <v>1195</v>
      </c>
      <c r="AC2" s="443" t="s">
        <v>1019</v>
      </c>
      <c r="AD2" s="444" t="s">
        <v>154</v>
      </c>
      <c r="AE2" s="444" t="s">
        <v>527</v>
      </c>
      <c r="AF2" s="445" t="s">
        <v>1018</v>
      </c>
      <c r="AG2" s="446" t="s">
        <v>1195</v>
      </c>
      <c r="AH2" s="443" t="s">
        <v>1019</v>
      </c>
      <c r="AI2" s="444" t="s">
        <v>154</v>
      </c>
      <c r="AJ2" s="444" t="s">
        <v>527</v>
      </c>
      <c r="AK2" s="445" t="s">
        <v>1018</v>
      </c>
      <c r="AL2" s="446" t="s">
        <v>1195</v>
      </c>
      <c r="AM2" s="443" t="s">
        <v>1019</v>
      </c>
      <c r="AN2" s="444" t="s">
        <v>154</v>
      </c>
      <c r="AO2" s="444" t="s">
        <v>527</v>
      </c>
      <c r="AP2" s="445" t="s">
        <v>1018</v>
      </c>
      <c r="AQ2" s="446" t="s">
        <v>1195</v>
      </c>
      <c r="AR2" s="443" t="s">
        <v>1019</v>
      </c>
      <c r="AS2" s="444" t="s">
        <v>154</v>
      </c>
      <c r="AT2" s="444" t="s">
        <v>527</v>
      </c>
      <c r="AU2" s="445" t="s">
        <v>1018</v>
      </c>
      <c r="AV2" s="446" t="s">
        <v>1195</v>
      </c>
      <c r="AW2" s="443" t="s">
        <v>1019</v>
      </c>
      <c r="AX2" s="444" t="s">
        <v>154</v>
      </c>
      <c r="AY2" s="444" t="s">
        <v>527</v>
      </c>
      <c r="AZ2" s="445" t="s">
        <v>1018</v>
      </c>
      <c r="BA2" s="446" t="s">
        <v>1195</v>
      </c>
    </row>
    <row r="3" spans="1:53" x14ac:dyDescent="0.2">
      <c r="A3" s="447">
        <v>1</v>
      </c>
      <c r="B3" s="448">
        <v>0</v>
      </c>
      <c r="C3" s="449" t="s">
        <v>363</v>
      </c>
      <c r="D3" s="450"/>
      <c r="E3" s="451"/>
      <c r="F3" s="451"/>
      <c r="I3" s="450"/>
      <c r="J3" s="451"/>
      <c r="K3" s="451"/>
      <c r="N3" s="450"/>
      <c r="O3" s="451"/>
      <c r="P3" s="451"/>
      <c r="S3" s="450"/>
      <c r="T3" s="451"/>
      <c r="U3" s="451"/>
      <c r="X3" s="450"/>
      <c r="Y3" s="451"/>
      <c r="Z3" s="451"/>
      <c r="AC3" s="450"/>
      <c r="AD3" s="451"/>
      <c r="AE3" s="451"/>
      <c r="AH3" s="450"/>
      <c r="AI3" s="451"/>
      <c r="AJ3" s="451"/>
      <c r="AM3" s="450"/>
      <c r="AN3" s="451"/>
      <c r="AO3" s="451"/>
      <c r="AR3" s="450"/>
      <c r="AS3" s="451"/>
      <c r="AT3" s="451"/>
      <c r="AW3" s="450"/>
      <c r="AX3" s="451"/>
      <c r="AY3" s="451"/>
    </row>
    <row r="4" spans="1:53" x14ac:dyDescent="0.2">
      <c r="A4" s="461">
        <f>+A3+1</f>
        <v>2</v>
      </c>
      <c r="B4" s="690">
        <v>23</v>
      </c>
      <c r="C4" s="454" t="s">
        <v>1600</v>
      </c>
      <c r="D4" s="455">
        <v>0</v>
      </c>
      <c r="E4" s="456"/>
      <c r="F4" s="456"/>
      <c r="G4" s="452">
        <v>37987</v>
      </c>
      <c r="H4" s="453">
        <v>38352</v>
      </c>
      <c r="I4" s="455">
        <v>0.01</v>
      </c>
      <c r="J4" s="456"/>
      <c r="K4" s="456"/>
      <c r="L4" s="452">
        <v>38353</v>
      </c>
      <c r="N4" s="455"/>
      <c r="O4" s="456"/>
      <c r="P4" s="456"/>
      <c r="S4" s="455"/>
      <c r="T4" s="456"/>
      <c r="U4" s="456"/>
      <c r="X4" s="455"/>
      <c r="Y4" s="456"/>
      <c r="Z4" s="456"/>
      <c r="AC4" s="455"/>
      <c r="AD4" s="456"/>
      <c r="AE4" s="456"/>
      <c r="AH4" s="455"/>
      <c r="AI4" s="456"/>
      <c r="AJ4" s="456"/>
      <c r="AM4" s="455"/>
      <c r="AN4" s="456"/>
      <c r="AO4" s="456"/>
      <c r="AR4" s="455"/>
      <c r="AS4" s="456"/>
      <c r="AT4" s="456"/>
      <c r="AW4" s="455"/>
      <c r="AX4" s="456"/>
      <c r="AY4" s="456"/>
    </row>
    <row r="5" spans="1:53" x14ac:dyDescent="0.2">
      <c r="A5" s="447">
        <f>+A4+1</f>
        <v>3</v>
      </c>
      <c r="B5" s="690">
        <v>18</v>
      </c>
      <c r="C5" s="454" t="s">
        <v>72</v>
      </c>
      <c r="D5" s="455">
        <v>0.01</v>
      </c>
      <c r="E5" s="456"/>
      <c r="F5" s="456"/>
      <c r="G5" s="452">
        <v>37987</v>
      </c>
      <c r="H5" s="453">
        <v>41274</v>
      </c>
      <c r="I5" s="455">
        <v>1.4999999999999999E-2</v>
      </c>
      <c r="J5" s="456"/>
      <c r="K5" s="456"/>
      <c r="L5" s="452">
        <v>41275</v>
      </c>
      <c r="N5" s="455"/>
      <c r="O5" s="456"/>
      <c r="P5" s="456"/>
      <c r="S5" s="455"/>
      <c r="T5" s="456"/>
      <c r="U5" s="456"/>
      <c r="X5" s="455"/>
      <c r="Y5" s="456"/>
      <c r="Z5" s="456"/>
      <c r="AC5" s="455"/>
      <c r="AD5" s="456"/>
      <c r="AE5" s="456"/>
      <c r="AH5" s="455"/>
      <c r="AI5" s="456"/>
      <c r="AJ5" s="456"/>
      <c r="AM5" s="455"/>
      <c r="AN5" s="456"/>
      <c r="AO5" s="456"/>
      <c r="AR5" s="455"/>
      <c r="AS5" s="456"/>
      <c r="AT5" s="456"/>
      <c r="AW5" s="455"/>
      <c r="AX5" s="456"/>
      <c r="AY5" s="456"/>
    </row>
    <row r="6" spans="1:53" x14ac:dyDescent="0.2">
      <c r="A6" s="447">
        <f t="shared" ref="A6:A136" si="0">+A5+1</f>
        <v>4</v>
      </c>
      <c r="B6" s="690">
        <v>22</v>
      </c>
      <c r="C6" s="454" t="s">
        <v>1363</v>
      </c>
      <c r="D6" s="455">
        <v>0</v>
      </c>
      <c r="E6" s="456"/>
      <c r="F6" s="456"/>
      <c r="G6" s="452">
        <v>37987</v>
      </c>
      <c r="H6" s="453">
        <v>40178</v>
      </c>
      <c r="I6" s="455">
        <v>0.01</v>
      </c>
      <c r="J6" s="456"/>
      <c r="K6" s="456"/>
      <c r="L6" s="452">
        <v>40179</v>
      </c>
      <c r="N6" s="455"/>
      <c r="O6" s="456"/>
      <c r="P6" s="456"/>
      <c r="S6" s="455"/>
      <c r="T6" s="456"/>
      <c r="U6" s="456"/>
      <c r="X6" s="455"/>
      <c r="Y6" s="456"/>
      <c r="Z6" s="456"/>
      <c r="AC6" s="455"/>
      <c r="AD6" s="456"/>
      <c r="AE6" s="456"/>
      <c r="AH6" s="455"/>
      <c r="AI6" s="456"/>
      <c r="AJ6" s="456"/>
      <c r="AM6" s="455"/>
      <c r="AN6" s="456"/>
      <c r="AO6" s="456"/>
      <c r="AR6" s="455"/>
      <c r="AS6" s="456"/>
      <c r="AT6" s="456"/>
      <c r="AW6" s="455"/>
      <c r="AX6" s="456"/>
      <c r="AY6" s="456"/>
    </row>
    <row r="7" spans="1:53" x14ac:dyDescent="0.2">
      <c r="A7" s="447">
        <f t="shared" si="0"/>
        <v>5</v>
      </c>
      <c r="B7" s="690">
        <v>44</v>
      </c>
      <c r="C7" s="454" t="s">
        <v>1496</v>
      </c>
      <c r="D7" s="455">
        <v>0</v>
      </c>
      <c r="E7" s="456"/>
      <c r="F7" s="456"/>
      <c r="G7" s="452">
        <v>37987</v>
      </c>
      <c r="H7" s="453">
        <v>42247</v>
      </c>
      <c r="I7" s="455">
        <v>0.01</v>
      </c>
      <c r="J7" s="456"/>
      <c r="K7" s="456"/>
      <c r="L7" s="452">
        <v>42248</v>
      </c>
      <c r="N7" s="455"/>
      <c r="O7" s="456"/>
      <c r="P7" s="456"/>
      <c r="S7" s="455"/>
      <c r="T7" s="456"/>
      <c r="U7" s="456"/>
      <c r="X7" s="455"/>
      <c r="Y7" s="456"/>
      <c r="Z7" s="456"/>
      <c r="AC7" s="455"/>
      <c r="AD7" s="456"/>
      <c r="AE7" s="456"/>
      <c r="AH7" s="455"/>
      <c r="AI7" s="456"/>
      <c r="AJ7" s="456"/>
      <c r="AM7" s="455"/>
      <c r="AN7" s="456"/>
      <c r="AO7" s="456"/>
      <c r="AR7" s="455"/>
      <c r="AS7" s="456"/>
      <c r="AT7" s="456"/>
      <c r="AW7" s="455"/>
      <c r="AX7" s="456"/>
      <c r="AY7" s="456"/>
    </row>
    <row r="8" spans="1:53" s="763" customFormat="1" x14ac:dyDescent="0.2">
      <c r="A8" s="756">
        <f t="shared" si="0"/>
        <v>6</v>
      </c>
      <c r="B8" s="757">
        <v>42</v>
      </c>
      <c r="C8" s="758" t="s">
        <v>1653</v>
      </c>
      <c r="D8" s="759">
        <v>0</v>
      </c>
      <c r="E8" s="760"/>
      <c r="F8" s="760"/>
      <c r="G8" s="761">
        <v>37987</v>
      </c>
      <c r="H8" s="762">
        <v>43281</v>
      </c>
      <c r="I8" s="759">
        <v>0.01</v>
      </c>
      <c r="J8" s="760"/>
      <c r="K8" s="760"/>
      <c r="L8" s="761">
        <v>43282</v>
      </c>
      <c r="M8" s="762"/>
      <c r="N8" s="759"/>
      <c r="O8" s="760"/>
      <c r="P8" s="760"/>
      <c r="Q8" s="761"/>
      <c r="R8" s="762"/>
      <c r="S8" s="759"/>
      <c r="T8" s="760"/>
      <c r="U8" s="760"/>
      <c r="V8" s="761"/>
      <c r="W8" s="762"/>
      <c r="X8" s="759"/>
      <c r="Y8" s="760"/>
      <c r="Z8" s="760"/>
      <c r="AA8" s="761"/>
      <c r="AB8" s="762"/>
      <c r="AC8" s="759"/>
      <c r="AD8" s="760"/>
      <c r="AE8" s="760"/>
      <c r="AF8" s="761"/>
      <c r="AG8" s="762"/>
      <c r="AH8" s="759"/>
      <c r="AI8" s="760"/>
      <c r="AJ8" s="760"/>
      <c r="AK8" s="761"/>
      <c r="AL8" s="762"/>
      <c r="AM8" s="759"/>
      <c r="AN8" s="760"/>
      <c r="AO8" s="760"/>
      <c r="AP8" s="761"/>
      <c r="AQ8" s="762"/>
      <c r="AR8" s="759"/>
      <c r="AS8" s="760"/>
      <c r="AT8" s="760"/>
      <c r="AU8" s="761"/>
      <c r="AV8" s="762"/>
      <c r="AW8" s="759"/>
      <c r="AX8" s="760"/>
      <c r="AY8" s="760"/>
      <c r="AZ8" s="761"/>
      <c r="BA8" s="762"/>
    </row>
    <row r="9" spans="1:53" x14ac:dyDescent="0.2">
      <c r="A9" s="447">
        <f t="shared" si="0"/>
        <v>7</v>
      </c>
      <c r="B9" s="690">
        <v>39</v>
      </c>
      <c r="C9" s="454" t="s">
        <v>1440</v>
      </c>
      <c r="D9" s="455">
        <v>0</v>
      </c>
      <c r="E9" s="456"/>
      <c r="F9" s="456"/>
      <c r="G9" s="452">
        <v>37987</v>
      </c>
      <c r="H9" s="453">
        <v>41820</v>
      </c>
      <c r="I9" s="455">
        <v>0.01</v>
      </c>
      <c r="J9" s="456"/>
      <c r="K9" s="456"/>
      <c r="L9" s="452">
        <v>41821</v>
      </c>
      <c r="N9" s="455"/>
      <c r="O9" s="456"/>
      <c r="P9" s="456"/>
      <c r="S9" s="455"/>
      <c r="T9" s="456"/>
      <c r="U9" s="456"/>
      <c r="X9" s="455"/>
      <c r="Y9" s="456"/>
      <c r="Z9" s="456"/>
      <c r="AC9" s="455"/>
      <c r="AD9" s="456"/>
      <c r="AE9" s="456"/>
      <c r="AH9" s="455"/>
      <c r="AI9" s="456"/>
      <c r="AJ9" s="456"/>
      <c r="AM9" s="455"/>
      <c r="AN9" s="456"/>
      <c r="AO9" s="456"/>
      <c r="AR9" s="455"/>
      <c r="AS9" s="456"/>
      <c r="AT9" s="456"/>
      <c r="AW9" s="455"/>
      <c r="AX9" s="456"/>
      <c r="AY9" s="456"/>
    </row>
    <row r="10" spans="1:53" x14ac:dyDescent="0.2">
      <c r="A10" s="447">
        <f>+A9+1</f>
        <v>8</v>
      </c>
      <c r="B10" s="690">
        <v>15</v>
      </c>
      <c r="C10" s="454" t="s">
        <v>1307</v>
      </c>
      <c r="D10" s="455">
        <v>1.4999999999999999E-2</v>
      </c>
      <c r="E10" s="456"/>
      <c r="F10" s="456"/>
      <c r="G10" s="452">
        <v>37987</v>
      </c>
      <c r="I10" s="455"/>
      <c r="J10" s="456"/>
      <c r="K10" s="456"/>
      <c r="N10" s="455"/>
      <c r="O10" s="456"/>
      <c r="P10" s="456"/>
      <c r="S10" s="455"/>
      <c r="T10" s="456"/>
      <c r="U10" s="456"/>
      <c r="X10" s="455"/>
      <c r="Y10" s="456"/>
      <c r="Z10" s="456"/>
      <c r="AC10" s="455"/>
      <c r="AD10" s="456"/>
      <c r="AE10" s="456"/>
      <c r="AH10" s="455"/>
      <c r="AI10" s="456"/>
      <c r="AJ10" s="456"/>
      <c r="AM10" s="455"/>
      <c r="AN10" s="456"/>
      <c r="AO10" s="456"/>
      <c r="AR10" s="455"/>
      <c r="AS10" s="456"/>
      <c r="AT10" s="456"/>
      <c r="AW10" s="455"/>
      <c r="AX10" s="456"/>
      <c r="AY10" s="456"/>
    </row>
    <row r="11" spans="1:53" x14ac:dyDescent="0.2">
      <c r="A11" s="447">
        <f>+A10+1</f>
        <v>9</v>
      </c>
      <c r="B11" s="690">
        <v>31</v>
      </c>
      <c r="C11" s="454" t="s">
        <v>1364</v>
      </c>
      <c r="D11" s="455">
        <v>0</v>
      </c>
      <c r="E11" s="456"/>
      <c r="F11" s="456"/>
      <c r="G11" s="452">
        <v>37987</v>
      </c>
      <c r="H11" s="453">
        <v>38971</v>
      </c>
      <c r="I11" s="455">
        <v>0.01</v>
      </c>
      <c r="J11" s="456"/>
      <c r="K11" s="456"/>
      <c r="L11" s="452">
        <v>38972</v>
      </c>
      <c r="N11" s="455"/>
      <c r="O11" s="456"/>
      <c r="P11" s="456"/>
      <c r="S11" s="455"/>
      <c r="T11" s="456"/>
      <c r="U11" s="456"/>
      <c r="X11" s="455"/>
      <c r="Y11" s="456"/>
      <c r="Z11" s="456"/>
      <c r="AC11" s="455"/>
      <c r="AD11" s="456"/>
      <c r="AE11" s="456"/>
      <c r="AH11" s="455"/>
      <c r="AI11" s="456"/>
      <c r="AJ11" s="456"/>
      <c r="AM11" s="455"/>
      <c r="AN11" s="456"/>
      <c r="AO11" s="456"/>
      <c r="AR11" s="455"/>
      <c r="AS11" s="456"/>
      <c r="AT11" s="456"/>
      <c r="AW11" s="455"/>
      <c r="AX11" s="456"/>
      <c r="AY11" s="456"/>
    </row>
    <row r="12" spans="1:53" x14ac:dyDescent="0.2">
      <c r="A12" s="447">
        <f>+A11+1</f>
        <v>10</v>
      </c>
      <c r="B12" s="690">
        <v>13</v>
      </c>
      <c r="C12" s="457" t="s">
        <v>811</v>
      </c>
      <c r="D12" s="455">
        <v>2.1000000000000001E-2</v>
      </c>
      <c r="E12" s="456"/>
      <c r="F12" s="456"/>
      <c r="G12" s="452">
        <v>37987</v>
      </c>
      <c r="I12" s="455"/>
      <c r="J12" s="456"/>
      <c r="K12" s="456"/>
      <c r="N12" s="455"/>
      <c r="O12" s="456"/>
      <c r="P12" s="456"/>
      <c r="S12" s="455"/>
      <c r="T12" s="456"/>
      <c r="U12" s="456"/>
      <c r="X12" s="455"/>
      <c r="Y12" s="456"/>
      <c r="Z12" s="456"/>
      <c r="AC12" s="455"/>
      <c r="AD12" s="456"/>
      <c r="AE12" s="456"/>
      <c r="AH12" s="455"/>
      <c r="AI12" s="456"/>
      <c r="AJ12" s="456"/>
      <c r="AM12" s="455"/>
      <c r="AN12" s="456"/>
      <c r="AO12" s="456"/>
      <c r="AR12" s="455"/>
      <c r="AS12" s="456"/>
      <c r="AT12" s="456"/>
      <c r="AW12" s="455"/>
      <c r="AX12" s="456"/>
      <c r="AY12" s="456"/>
    </row>
    <row r="13" spans="1:53" x14ac:dyDescent="0.2">
      <c r="A13" s="447">
        <f>+A12+1</f>
        <v>11</v>
      </c>
      <c r="B13" s="462">
        <v>41</v>
      </c>
      <c r="C13" s="458" t="s">
        <v>1506</v>
      </c>
      <c r="D13" s="455">
        <v>0</v>
      </c>
      <c r="E13" s="456"/>
      <c r="F13" s="456"/>
      <c r="G13" s="452">
        <v>37987</v>
      </c>
      <c r="H13" s="453">
        <v>42369</v>
      </c>
      <c r="I13" s="455">
        <v>0.01</v>
      </c>
      <c r="J13" s="456"/>
      <c r="K13" s="456"/>
      <c r="L13" s="452">
        <v>42370</v>
      </c>
      <c r="N13" s="455"/>
      <c r="O13" s="456"/>
      <c r="P13" s="456"/>
      <c r="S13" s="455"/>
      <c r="T13" s="456"/>
      <c r="U13" s="456"/>
      <c r="X13" s="455"/>
      <c r="Y13" s="456"/>
      <c r="Z13" s="456"/>
      <c r="AC13" s="455"/>
      <c r="AD13" s="456"/>
      <c r="AE13" s="456"/>
      <c r="AH13" s="455"/>
      <c r="AI13" s="456"/>
      <c r="AJ13" s="456"/>
      <c r="AM13" s="455"/>
      <c r="AN13" s="456"/>
      <c r="AO13" s="456"/>
      <c r="AR13" s="455"/>
      <c r="AS13" s="456"/>
      <c r="AT13" s="456"/>
      <c r="AW13" s="455"/>
      <c r="AX13" s="456"/>
      <c r="AY13" s="456"/>
    </row>
    <row r="14" spans="1:53" x14ac:dyDescent="0.2">
      <c r="A14" s="447">
        <f>+A13+1</f>
        <v>12</v>
      </c>
      <c r="B14" s="462">
        <v>6</v>
      </c>
      <c r="C14" s="457" t="s">
        <v>813</v>
      </c>
      <c r="D14" s="455">
        <v>5.0000000000000001E-3</v>
      </c>
      <c r="E14" s="456"/>
      <c r="F14" s="456"/>
      <c r="G14" s="452">
        <v>37987</v>
      </c>
      <c r="H14" s="453">
        <v>39447</v>
      </c>
      <c r="I14" s="455">
        <v>0.01</v>
      </c>
      <c r="J14" s="456"/>
      <c r="K14" s="456"/>
      <c r="L14" s="452">
        <v>39448</v>
      </c>
      <c r="N14" s="455"/>
      <c r="O14" s="456"/>
      <c r="P14" s="456"/>
      <c r="S14" s="455"/>
      <c r="T14" s="456"/>
      <c r="U14" s="456"/>
      <c r="X14" s="455"/>
      <c r="Y14" s="456"/>
      <c r="Z14" s="456"/>
      <c r="AC14" s="455"/>
      <c r="AD14" s="456"/>
      <c r="AE14" s="456"/>
      <c r="AH14" s="455"/>
      <c r="AI14" s="456"/>
      <c r="AJ14" s="456"/>
      <c r="AM14" s="455"/>
      <c r="AN14" s="456"/>
      <c r="AO14" s="456"/>
      <c r="AR14" s="455"/>
      <c r="AS14" s="456"/>
      <c r="AT14" s="456"/>
      <c r="AW14" s="455"/>
      <c r="AX14" s="456"/>
      <c r="AY14" s="456"/>
    </row>
    <row r="15" spans="1:53" x14ac:dyDescent="0.2">
      <c r="A15" s="447">
        <f t="shared" si="0"/>
        <v>13</v>
      </c>
      <c r="B15" s="462">
        <v>10</v>
      </c>
      <c r="C15" s="457" t="s">
        <v>814</v>
      </c>
      <c r="D15" s="455">
        <v>0.02</v>
      </c>
      <c r="E15" s="456"/>
      <c r="F15" s="456"/>
      <c r="G15" s="452">
        <v>37987</v>
      </c>
      <c r="I15" s="455"/>
      <c r="J15" s="456"/>
      <c r="K15" s="456"/>
      <c r="N15" s="455"/>
      <c r="O15" s="456"/>
      <c r="P15" s="456"/>
      <c r="S15" s="455"/>
      <c r="T15" s="456"/>
      <c r="U15" s="456"/>
      <c r="X15" s="455"/>
      <c r="Y15" s="456"/>
      <c r="Z15" s="456"/>
      <c r="AC15" s="455"/>
      <c r="AD15" s="456"/>
      <c r="AE15" s="456"/>
      <c r="AH15" s="455"/>
      <c r="AI15" s="456"/>
      <c r="AJ15" s="456"/>
      <c r="AM15" s="455"/>
      <c r="AN15" s="456"/>
      <c r="AO15" s="456"/>
      <c r="AR15" s="455"/>
      <c r="AS15" s="456"/>
      <c r="AT15" s="456"/>
      <c r="AW15" s="455"/>
      <c r="AX15" s="456"/>
      <c r="AY15" s="456"/>
    </row>
    <row r="16" spans="1:53" x14ac:dyDescent="0.2">
      <c r="A16" s="447">
        <f t="shared" si="0"/>
        <v>14</v>
      </c>
      <c r="B16" s="462">
        <v>20</v>
      </c>
      <c r="C16" s="457" t="s">
        <v>815</v>
      </c>
      <c r="D16" s="455">
        <v>1.4999999999999999E-2</v>
      </c>
      <c r="E16" s="456"/>
      <c r="F16" s="456"/>
      <c r="G16" s="452">
        <v>37987</v>
      </c>
      <c r="H16" s="453">
        <v>39447</v>
      </c>
      <c r="I16" s="455">
        <v>1.7500000000000002E-2</v>
      </c>
      <c r="J16" s="456"/>
      <c r="K16" s="456"/>
      <c r="L16" s="452">
        <v>39448</v>
      </c>
      <c r="N16" s="455"/>
      <c r="O16" s="456"/>
      <c r="P16" s="456"/>
      <c r="S16" s="455"/>
      <c r="T16" s="456"/>
      <c r="U16" s="456"/>
      <c r="X16" s="455"/>
      <c r="Y16" s="456"/>
      <c r="Z16" s="456"/>
      <c r="AC16" s="455"/>
      <c r="AD16" s="456"/>
      <c r="AE16" s="456"/>
      <c r="AH16" s="455"/>
      <c r="AI16" s="456"/>
      <c r="AJ16" s="456"/>
      <c r="AM16" s="455"/>
      <c r="AN16" s="456"/>
      <c r="AO16" s="456"/>
      <c r="AR16" s="455"/>
      <c r="AS16" s="456"/>
      <c r="AT16" s="456"/>
      <c r="AW16" s="455"/>
      <c r="AX16" s="456"/>
      <c r="AY16" s="456"/>
    </row>
    <row r="17" spans="1:51" x14ac:dyDescent="0.2">
      <c r="A17" s="447">
        <f t="shared" si="0"/>
        <v>15</v>
      </c>
      <c r="B17" s="462">
        <v>21</v>
      </c>
      <c r="C17" s="457" t="s">
        <v>816</v>
      </c>
      <c r="D17" s="455">
        <v>1.4999999999999999E-2</v>
      </c>
      <c r="E17" s="456"/>
      <c r="F17" s="456"/>
      <c r="G17" s="452">
        <v>37987</v>
      </c>
      <c r="I17" s="455"/>
      <c r="J17" s="456"/>
      <c r="K17" s="456"/>
      <c r="N17" s="455"/>
      <c r="O17" s="456"/>
      <c r="P17" s="456"/>
      <c r="S17" s="455"/>
      <c r="T17" s="456"/>
      <c r="U17" s="456"/>
      <c r="X17" s="455"/>
      <c r="Y17" s="456"/>
      <c r="Z17" s="456"/>
      <c r="AC17" s="455"/>
      <c r="AD17" s="456"/>
      <c r="AE17" s="456"/>
      <c r="AH17" s="455"/>
      <c r="AI17" s="456"/>
      <c r="AJ17" s="456"/>
      <c r="AM17" s="455"/>
      <c r="AN17" s="456"/>
      <c r="AO17" s="456"/>
      <c r="AR17" s="455"/>
      <c r="AS17" s="456"/>
      <c r="AT17" s="456"/>
      <c r="AW17" s="455"/>
      <c r="AX17" s="456"/>
      <c r="AY17" s="456"/>
    </row>
    <row r="18" spans="1:51" x14ac:dyDescent="0.2">
      <c r="A18" s="447">
        <f t="shared" si="0"/>
        <v>16</v>
      </c>
      <c r="B18" s="462">
        <v>37</v>
      </c>
      <c r="C18" s="458" t="s">
        <v>1467</v>
      </c>
      <c r="D18" s="455">
        <v>0</v>
      </c>
      <c r="E18" s="456"/>
      <c r="F18" s="456"/>
      <c r="G18" s="452">
        <v>37987</v>
      </c>
      <c r="H18" s="453">
        <v>39082</v>
      </c>
      <c r="I18" s="455">
        <v>0.02</v>
      </c>
      <c r="J18" s="456"/>
      <c r="K18" s="456"/>
      <c r="L18" s="452">
        <v>39083</v>
      </c>
      <c r="N18" s="455"/>
      <c r="O18" s="456"/>
      <c r="P18" s="456"/>
      <c r="S18" s="455"/>
      <c r="T18" s="456"/>
      <c r="U18" s="456"/>
      <c r="X18" s="455"/>
      <c r="Y18" s="456"/>
      <c r="Z18" s="456"/>
      <c r="AC18" s="455"/>
      <c r="AD18" s="456"/>
      <c r="AE18" s="456"/>
      <c r="AH18" s="455"/>
      <c r="AI18" s="456"/>
      <c r="AJ18" s="456"/>
      <c r="AM18" s="455"/>
      <c r="AN18" s="456"/>
      <c r="AO18" s="456"/>
      <c r="AR18" s="455"/>
      <c r="AS18" s="456"/>
      <c r="AT18" s="456"/>
      <c r="AW18" s="455"/>
      <c r="AX18" s="456"/>
      <c r="AY18" s="456"/>
    </row>
    <row r="19" spans="1:51" x14ac:dyDescent="0.2">
      <c r="A19" s="447">
        <f t="shared" si="0"/>
        <v>17</v>
      </c>
      <c r="B19" s="462">
        <v>33</v>
      </c>
      <c r="C19" s="458" t="s">
        <v>1222</v>
      </c>
      <c r="D19" s="455">
        <v>0</v>
      </c>
      <c r="E19" s="456"/>
      <c r="F19" s="456"/>
      <c r="G19" s="452">
        <v>37987</v>
      </c>
      <c r="H19" s="453">
        <v>38352</v>
      </c>
      <c r="I19" s="455">
        <v>0.01</v>
      </c>
      <c r="J19" s="456"/>
      <c r="K19" s="456"/>
      <c r="L19" s="452">
        <v>38353</v>
      </c>
      <c r="M19" s="453">
        <v>42369</v>
      </c>
      <c r="N19" s="455">
        <v>1.4999999999999999E-2</v>
      </c>
      <c r="O19" s="456"/>
      <c r="P19" s="456"/>
      <c r="Q19" s="452">
        <v>42370</v>
      </c>
      <c r="S19" s="455"/>
      <c r="T19" s="456"/>
      <c r="U19" s="456"/>
      <c r="X19" s="455"/>
      <c r="Y19" s="456"/>
      <c r="Z19" s="456"/>
      <c r="AC19" s="455"/>
      <c r="AD19" s="456"/>
      <c r="AE19" s="456"/>
      <c r="AH19" s="455"/>
      <c r="AI19" s="456"/>
      <c r="AJ19" s="456"/>
      <c r="AM19" s="455"/>
      <c r="AN19" s="456"/>
      <c r="AO19" s="456"/>
      <c r="AR19" s="455"/>
      <c r="AS19" s="456"/>
      <c r="AT19" s="456"/>
      <c r="AW19" s="455"/>
      <c r="AX19" s="456"/>
      <c r="AY19" s="456"/>
    </row>
    <row r="20" spans="1:51" x14ac:dyDescent="0.2">
      <c r="A20" s="447">
        <f t="shared" si="0"/>
        <v>18</v>
      </c>
      <c r="B20" s="462">
        <v>29</v>
      </c>
      <c r="C20" s="457" t="s">
        <v>950</v>
      </c>
      <c r="D20" s="455">
        <v>0.01</v>
      </c>
      <c r="E20" s="456"/>
      <c r="F20" s="456"/>
      <c r="G20" s="452">
        <v>37987</v>
      </c>
      <c r="I20" s="455"/>
      <c r="J20" s="456"/>
      <c r="K20" s="456"/>
      <c r="N20" s="455"/>
      <c r="O20" s="456"/>
      <c r="P20" s="456"/>
      <c r="S20" s="455"/>
      <c r="T20" s="456"/>
      <c r="U20" s="456"/>
      <c r="X20" s="455"/>
      <c r="Y20" s="456"/>
      <c r="Z20" s="456"/>
      <c r="AC20" s="455"/>
      <c r="AD20" s="456"/>
      <c r="AE20" s="456"/>
      <c r="AH20" s="455"/>
      <c r="AI20" s="456"/>
      <c r="AJ20" s="456"/>
      <c r="AM20" s="455"/>
      <c r="AN20" s="456"/>
      <c r="AO20" s="456"/>
      <c r="AR20" s="455"/>
      <c r="AS20" s="456"/>
      <c r="AT20" s="456"/>
      <c r="AW20" s="455"/>
      <c r="AX20" s="456"/>
      <c r="AY20" s="456"/>
    </row>
    <row r="21" spans="1:51" x14ac:dyDescent="0.2">
      <c r="A21" s="461">
        <f t="shared" si="0"/>
        <v>19</v>
      </c>
      <c r="B21" s="462">
        <v>34</v>
      </c>
      <c r="C21" s="457" t="s">
        <v>1601</v>
      </c>
      <c r="D21" s="455">
        <v>0</v>
      </c>
      <c r="E21" s="456"/>
      <c r="F21" s="456"/>
      <c r="G21" s="452">
        <v>37987</v>
      </c>
      <c r="H21" s="453">
        <v>38352</v>
      </c>
      <c r="I21" s="455">
        <v>0.01</v>
      </c>
      <c r="J21" s="456"/>
      <c r="K21" s="456"/>
      <c r="L21" s="452">
        <v>38353</v>
      </c>
      <c r="N21" s="455"/>
      <c r="O21" s="456"/>
      <c r="P21" s="456"/>
      <c r="S21" s="455"/>
      <c r="T21" s="456"/>
      <c r="U21" s="456"/>
      <c r="X21" s="455"/>
      <c r="Y21" s="456"/>
      <c r="Z21" s="456"/>
      <c r="AC21" s="455"/>
      <c r="AD21" s="456"/>
      <c r="AE21" s="456"/>
      <c r="AH21" s="455"/>
      <c r="AI21" s="456"/>
      <c r="AJ21" s="456"/>
      <c r="AM21" s="455"/>
      <c r="AN21" s="456"/>
      <c r="AO21" s="456"/>
      <c r="AR21" s="455"/>
      <c r="AS21" s="456"/>
      <c r="AT21" s="456"/>
      <c r="AW21" s="455"/>
      <c r="AX21" s="456"/>
      <c r="AY21" s="456"/>
    </row>
    <row r="22" spans="1:51" x14ac:dyDescent="0.2">
      <c r="A22" s="461">
        <f t="shared" si="0"/>
        <v>20</v>
      </c>
      <c r="B22" s="462">
        <v>61</v>
      </c>
      <c r="C22" s="457" t="s">
        <v>1602</v>
      </c>
      <c r="D22" s="455">
        <v>0</v>
      </c>
      <c r="E22" s="456"/>
      <c r="F22" s="456"/>
      <c r="G22" s="452">
        <v>37987</v>
      </c>
      <c r="H22" s="453">
        <v>39782</v>
      </c>
      <c r="I22" s="455">
        <v>0.01</v>
      </c>
      <c r="J22" s="456"/>
      <c r="K22" s="456"/>
      <c r="L22" s="452">
        <v>39783</v>
      </c>
      <c r="N22" s="455"/>
      <c r="O22" s="456"/>
      <c r="P22" s="456"/>
      <c r="S22" s="455"/>
      <c r="T22" s="456"/>
      <c r="U22" s="456"/>
      <c r="X22" s="455"/>
      <c r="Y22" s="456"/>
      <c r="Z22" s="456"/>
      <c r="AC22" s="455"/>
      <c r="AD22" s="456"/>
      <c r="AE22" s="456"/>
      <c r="AH22" s="455"/>
      <c r="AI22" s="456"/>
      <c r="AJ22" s="456"/>
      <c r="AM22" s="455"/>
      <c r="AN22" s="456"/>
      <c r="AO22" s="456"/>
      <c r="AR22" s="455"/>
      <c r="AS22" s="456"/>
      <c r="AT22" s="456"/>
      <c r="AW22" s="455"/>
      <c r="AX22" s="456"/>
      <c r="AY22" s="456"/>
    </row>
    <row r="23" spans="1:51" x14ac:dyDescent="0.2">
      <c r="A23" s="461">
        <f t="shared" si="0"/>
        <v>21</v>
      </c>
      <c r="B23" s="462">
        <v>62</v>
      </c>
      <c r="C23" s="457" t="s">
        <v>1603</v>
      </c>
      <c r="D23" s="455">
        <v>0</v>
      </c>
      <c r="E23" s="456"/>
      <c r="F23" s="456"/>
      <c r="G23" s="452">
        <v>37987</v>
      </c>
      <c r="H23" s="453">
        <v>41077</v>
      </c>
      <c r="I23" s="455">
        <v>0.01</v>
      </c>
      <c r="J23" s="456"/>
      <c r="K23" s="456"/>
      <c r="L23" s="452">
        <v>41078</v>
      </c>
      <c r="N23" s="455"/>
      <c r="O23" s="456"/>
      <c r="P23" s="456"/>
      <c r="S23" s="455"/>
      <c r="T23" s="456"/>
      <c r="U23" s="456"/>
      <c r="X23" s="455"/>
      <c r="Y23" s="456"/>
      <c r="Z23" s="456"/>
      <c r="AC23" s="455"/>
      <c r="AD23" s="456"/>
      <c r="AE23" s="456"/>
      <c r="AH23" s="455"/>
      <c r="AI23" s="456"/>
      <c r="AJ23" s="456"/>
      <c r="AM23" s="455"/>
      <c r="AN23" s="456"/>
      <c r="AO23" s="456"/>
      <c r="AR23" s="455"/>
      <c r="AS23" s="456"/>
      <c r="AT23" s="456"/>
      <c r="AW23" s="455"/>
      <c r="AX23" s="456"/>
      <c r="AY23" s="456"/>
    </row>
    <row r="24" spans="1:51" x14ac:dyDescent="0.2">
      <c r="A24" s="447">
        <f t="shared" si="0"/>
        <v>22</v>
      </c>
      <c r="B24" s="462">
        <v>40</v>
      </c>
      <c r="C24" s="457" t="s">
        <v>817</v>
      </c>
      <c r="D24" s="455">
        <v>1.4999999999999999E-2</v>
      </c>
      <c r="E24" s="456"/>
      <c r="F24" s="456"/>
      <c r="G24" s="452">
        <v>37987</v>
      </c>
      <c r="I24" s="455"/>
      <c r="J24" s="456"/>
      <c r="K24" s="456"/>
      <c r="N24" s="455"/>
      <c r="O24" s="456"/>
      <c r="P24" s="456"/>
      <c r="S24" s="455"/>
      <c r="T24" s="456"/>
      <c r="U24" s="456"/>
      <c r="X24" s="455"/>
      <c r="Y24" s="456"/>
      <c r="Z24" s="456"/>
      <c r="AC24" s="455"/>
      <c r="AD24" s="456"/>
      <c r="AE24" s="456"/>
      <c r="AH24" s="455"/>
      <c r="AI24" s="456"/>
      <c r="AJ24" s="456"/>
      <c r="AM24" s="455"/>
      <c r="AN24" s="456"/>
      <c r="AO24" s="456"/>
      <c r="AR24" s="455"/>
      <c r="AS24" s="456"/>
      <c r="AT24" s="456"/>
      <c r="AW24" s="455"/>
      <c r="AX24" s="456"/>
      <c r="AY24" s="456"/>
    </row>
    <row r="25" spans="1:51" x14ac:dyDescent="0.2">
      <c r="A25" s="447">
        <f t="shared" si="0"/>
        <v>23</v>
      </c>
      <c r="B25" s="462">
        <v>50</v>
      </c>
      <c r="C25" s="457" t="s">
        <v>818</v>
      </c>
      <c r="D25" s="455">
        <v>1.4999999999999999E-2</v>
      </c>
      <c r="E25" s="456"/>
      <c r="F25" s="456"/>
      <c r="G25" s="452">
        <v>37987</v>
      </c>
      <c r="H25" s="453">
        <v>40543</v>
      </c>
      <c r="I25" s="455">
        <v>0.02</v>
      </c>
      <c r="J25" s="456"/>
      <c r="K25" s="456"/>
      <c r="L25" s="452">
        <v>40544</v>
      </c>
      <c r="N25" s="455"/>
      <c r="O25" s="456"/>
      <c r="P25" s="456"/>
      <c r="S25" s="455"/>
      <c r="T25" s="456"/>
      <c r="U25" s="456"/>
      <c r="X25" s="455"/>
      <c r="Y25" s="456"/>
      <c r="Z25" s="456"/>
      <c r="AC25" s="455"/>
      <c r="AD25" s="456"/>
      <c r="AE25" s="456"/>
      <c r="AH25" s="455"/>
      <c r="AI25" s="456"/>
      <c r="AJ25" s="456"/>
      <c r="AM25" s="455"/>
      <c r="AN25" s="456"/>
      <c r="AO25" s="456"/>
      <c r="AR25" s="455"/>
      <c r="AS25" s="456"/>
      <c r="AT25" s="456"/>
      <c r="AW25" s="455"/>
      <c r="AX25" s="456"/>
      <c r="AY25" s="456"/>
    </row>
    <row r="26" spans="1:51" x14ac:dyDescent="0.2">
      <c r="A26" s="447">
        <f>+A25+1</f>
        <v>24</v>
      </c>
      <c r="B26" s="462">
        <v>54</v>
      </c>
      <c r="C26" s="458" t="s">
        <v>1177</v>
      </c>
      <c r="D26" s="455">
        <v>0</v>
      </c>
      <c r="E26" s="456"/>
      <c r="F26" s="456"/>
      <c r="G26" s="452">
        <v>37987</v>
      </c>
      <c r="H26" s="453">
        <v>40178</v>
      </c>
      <c r="I26" s="455">
        <v>0.01</v>
      </c>
      <c r="J26" s="456"/>
      <c r="K26" s="456"/>
      <c r="L26" s="452">
        <v>40179</v>
      </c>
      <c r="N26" s="455"/>
      <c r="O26" s="456"/>
      <c r="P26" s="456"/>
      <c r="S26" s="455"/>
      <c r="T26" s="456"/>
      <c r="U26" s="456"/>
      <c r="X26" s="455"/>
      <c r="Y26" s="456"/>
      <c r="Z26" s="456"/>
      <c r="AC26" s="455"/>
      <c r="AD26" s="456"/>
      <c r="AE26" s="456"/>
      <c r="AH26" s="455"/>
      <c r="AI26" s="456"/>
      <c r="AJ26" s="456"/>
      <c r="AM26" s="455"/>
      <c r="AN26" s="456"/>
      <c r="AO26" s="456"/>
      <c r="AR26" s="455"/>
      <c r="AS26" s="456"/>
      <c r="AT26" s="456"/>
      <c r="AW26" s="455"/>
      <c r="AX26" s="456"/>
      <c r="AY26" s="456"/>
    </row>
    <row r="27" spans="1:51" x14ac:dyDescent="0.2">
      <c r="A27" s="447">
        <f t="shared" si="0"/>
        <v>25</v>
      </c>
      <c r="B27" s="462">
        <v>65</v>
      </c>
      <c r="C27" s="457" t="s">
        <v>819</v>
      </c>
      <c r="D27" s="455">
        <v>0.02</v>
      </c>
      <c r="E27" s="456"/>
      <c r="F27" s="456"/>
      <c r="G27" s="452">
        <v>37987</v>
      </c>
      <c r="I27" s="455"/>
      <c r="J27" s="456"/>
      <c r="K27" s="456"/>
      <c r="N27" s="455"/>
      <c r="O27" s="456"/>
      <c r="P27" s="456"/>
      <c r="S27" s="455"/>
      <c r="T27" s="456"/>
      <c r="U27" s="456"/>
      <c r="X27" s="455"/>
      <c r="Y27" s="456"/>
      <c r="Z27" s="456"/>
      <c r="AC27" s="455"/>
      <c r="AD27" s="456"/>
      <c r="AE27" s="456"/>
      <c r="AH27" s="455"/>
      <c r="AI27" s="456"/>
      <c r="AJ27" s="456"/>
      <c r="AM27" s="455"/>
      <c r="AN27" s="456"/>
      <c r="AO27" s="456"/>
      <c r="AR27" s="455"/>
      <c r="AS27" s="456"/>
      <c r="AT27" s="456"/>
      <c r="AW27" s="455"/>
      <c r="AX27" s="456"/>
      <c r="AY27" s="456"/>
    </row>
    <row r="28" spans="1:51" x14ac:dyDescent="0.2">
      <c r="A28" s="447">
        <f t="shared" si="0"/>
        <v>26</v>
      </c>
      <c r="B28" s="462">
        <v>83</v>
      </c>
      <c r="C28" s="458" t="s">
        <v>1223</v>
      </c>
      <c r="D28" s="455">
        <v>0.01</v>
      </c>
      <c r="E28" s="456"/>
      <c r="F28" s="456"/>
      <c r="G28" s="452">
        <v>37987</v>
      </c>
      <c r="I28" s="455"/>
      <c r="J28" s="456"/>
      <c r="K28" s="456"/>
      <c r="N28" s="455"/>
      <c r="O28" s="456"/>
      <c r="P28" s="456"/>
      <c r="S28" s="455"/>
      <c r="T28" s="456"/>
      <c r="U28" s="456"/>
      <c r="X28" s="455"/>
      <c r="Y28" s="456"/>
      <c r="Z28" s="456"/>
      <c r="AC28" s="455"/>
      <c r="AD28" s="456"/>
      <c r="AE28" s="456"/>
      <c r="AH28" s="455"/>
      <c r="AI28" s="456"/>
      <c r="AJ28" s="456"/>
      <c r="AM28" s="455"/>
      <c r="AN28" s="456"/>
      <c r="AO28" s="456"/>
      <c r="AR28" s="455"/>
      <c r="AS28" s="456"/>
      <c r="AT28" s="456"/>
      <c r="AW28" s="455"/>
      <c r="AX28" s="456"/>
      <c r="AY28" s="456"/>
    </row>
    <row r="29" spans="1:51" x14ac:dyDescent="0.2">
      <c r="A29" s="447">
        <f t="shared" si="0"/>
        <v>27</v>
      </c>
      <c r="B29" s="462">
        <v>87</v>
      </c>
      <c r="C29" s="458" t="s">
        <v>1507</v>
      </c>
      <c r="D29" s="455">
        <v>1.3332999999999999E-2</v>
      </c>
      <c r="E29" s="456"/>
      <c r="F29" s="456"/>
      <c r="G29" s="452">
        <v>37987</v>
      </c>
      <c r="I29" s="455"/>
      <c r="J29" s="456"/>
      <c r="K29" s="456"/>
      <c r="N29" s="455"/>
      <c r="O29" s="456"/>
      <c r="P29" s="456"/>
      <c r="S29" s="455"/>
      <c r="T29" s="456"/>
      <c r="U29" s="456"/>
      <c r="X29" s="455"/>
      <c r="Y29" s="456"/>
      <c r="Z29" s="456"/>
      <c r="AC29" s="455"/>
      <c r="AD29" s="456"/>
      <c r="AE29" s="456"/>
      <c r="AH29" s="455"/>
      <c r="AI29" s="456"/>
      <c r="AJ29" s="456"/>
      <c r="AM29" s="455"/>
      <c r="AN29" s="456"/>
      <c r="AO29" s="456"/>
      <c r="AR29" s="455"/>
      <c r="AS29" s="456"/>
      <c r="AT29" s="456"/>
      <c r="AW29" s="455"/>
      <c r="AX29" s="456"/>
      <c r="AY29" s="456"/>
    </row>
    <row r="30" spans="1:51" x14ac:dyDescent="0.2">
      <c r="A30" s="447">
        <f t="shared" si="0"/>
        <v>28</v>
      </c>
      <c r="B30" s="462">
        <v>86</v>
      </c>
      <c r="C30" s="458" t="s">
        <v>486</v>
      </c>
      <c r="D30" s="455">
        <v>1.4999999999999999E-2</v>
      </c>
      <c r="E30" s="456"/>
      <c r="F30" s="456"/>
      <c r="G30" s="452">
        <v>37987</v>
      </c>
      <c r="H30" s="453">
        <v>43281</v>
      </c>
      <c r="I30" s="455">
        <v>0.02</v>
      </c>
      <c r="J30" s="456"/>
      <c r="K30" s="456"/>
      <c r="L30" s="452">
        <v>43282</v>
      </c>
      <c r="N30" s="455"/>
      <c r="O30" s="456"/>
      <c r="P30" s="456"/>
      <c r="S30" s="455"/>
      <c r="T30" s="456"/>
      <c r="U30" s="456"/>
      <c r="X30" s="455"/>
      <c r="Y30" s="456"/>
      <c r="Z30" s="456"/>
      <c r="AC30" s="455"/>
      <c r="AD30" s="456"/>
      <c r="AE30" s="456"/>
      <c r="AH30" s="455"/>
      <c r="AI30" s="456"/>
      <c r="AJ30" s="456"/>
      <c r="AM30" s="455"/>
      <c r="AN30" s="456"/>
      <c r="AO30" s="456"/>
      <c r="AR30" s="455"/>
      <c r="AS30" s="456"/>
      <c r="AT30" s="456"/>
      <c r="AW30" s="455"/>
      <c r="AX30" s="456"/>
      <c r="AY30" s="456"/>
    </row>
    <row r="31" spans="1:51" x14ac:dyDescent="0.2">
      <c r="A31" s="447">
        <f t="shared" si="0"/>
        <v>29</v>
      </c>
      <c r="B31" s="462">
        <v>89</v>
      </c>
      <c r="C31" s="457" t="s">
        <v>951</v>
      </c>
      <c r="D31" s="455">
        <v>0</v>
      </c>
      <c r="E31" s="456"/>
      <c r="F31" s="456"/>
      <c r="G31" s="452">
        <v>37987</v>
      </c>
      <c r="H31" s="453">
        <v>38352</v>
      </c>
      <c r="I31" s="455">
        <v>0.01</v>
      </c>
      <c r="J31" s="456"/>
      <c r="K31" s="456"/>
      <c r="L31" s="452">
        <v>38353</v>
      </c>
      <c r="N31" s="455"/>
      <c r="O31" s="456"/>
      <c r="P31" s="456"/>
      <c r="S31" s="455"/>
      <c r="T31" s="456"/>
      <c r="U31" s="456"/>
      <c r="X31" s="455"/>
      <c r="Y31" s="456"/>
      <c r="Z31" s="456"/>
      <c r="AC31" s="455"/>
      <c r="AD31" s="456"/>
      <c r="AE31" s="456"/>
      <c r="AH31" s="455"/>
      <c r="AI31" s="456"/>
      <c r="AJ31" s="456"/>
      <c r="AM31" s="455"/>
      <c r="AN31" s="456"/>
      <c r="AO31" s="456"/>
      <c r="AR31" s="455"/>
      <c r="AS31" s="456"/>
      <c r="AT31" s="456"/>
      <c r="AW31" s="455"/>
      <c r="AX31" s="456"/>
      <c r="AY31" s="456"/>
    </row>
    <row r="32" spans="1:51" x14ac:dyDescent="0.2">
      <c r="A32" s="447">
        <f t="shared" si="0"/>
        <v>30</v>
      </c>
      <c r="B32" s="462">
        <v>90</v>
      </c>
      <c r="C32" s="457" t="s">
        <v>820</v>
      </c>
      <c r="D32" s="455">
        <v>0.01</v>
      </c>
      <c r="E32" s="456"/>
      <c r="F32" s="456"/>
      <c r="G32" s="452">
        <v>37987</v>
      </c>
      <c r="I32" s="455"/>
      <c r="J32" s="456"/>
      <c r="K32" s="456"/>
      <c r="N32" s="455"/>
      <c r="O32" s="456"/>
      <c r="P32" s="456"/>
      <c r="S32" s="455"/>
      <c r="T32" s="456"/>
      <c r="U32" s="456"/>
      <c r="X32" s="455"/>
      <c r="Y32" s="456"/>
      <c r="Z32" s="456"/>
      <c r="AC32" s="455"/>
      <c r="AD32" s="456"/>
      <c r="AE32" s="456"/>
      <c r="AH32" s="455"/>
      <c r="AI32" s="456"/>
      <c r="AJ32" s="456"/>
      <c r="AM32" s="455"/>
      <c r="AN32" s="456"/>
      <c r="AO32" s="456"/>
      <c r="AR32" s="455"/>
      <c r="AS32" s="456"/>
      <c r="AT32" s="456"/>
      <c r="AW32" s="455"/>
      <c r="AX32" s="456"/>
      <c r="AY32" s="456"/>
    </row>
    <row r="33" spans="1:53" x14ac:dyDescent="0.2">
      <c r="A33" s="447">
        <f t="shared" si="0"/>
        <v>31</v>
      </c>
      <c r="B33" s="462">
        <v>100</v>
      </c>
      <c r="C33" s="457" t="s">
        <v>821</v>
      </c>
      <c r="D33" s="455">
        <v>0.02</v>
      </c>
      <c r="E33" s="456"/>
      <c r="F33" s="456"/>
      <c r="G33" s="452">
        <v>37987</v>
      </c>
      <c r="I33" s="455"/>
      <c r="J33" s="456"/>
      <c r="K33" s="456"/>
      <c r="N33" s="455"/>
      <c r="O33" s="456"/>
      <c r="P33" s="456"/>
      <c r="S33" s="455"/>
      <c r="T33" s="456"/>
      <c r="U33" s="456"/>
      <c r="X33" s="455"/>
      <c r="Y33" s="456"/>
      <c r="Z33" s="456"/>
      <c r="AC33" s="455"/>
      <c r="AD33" s="456"/>
      <c r="AE33" s="456"/>
      <c r="AH33" s="455"/>
      <c r="AI33" s="456"/>
      <c r="AJ33" s="456"/>
      <c r="AM33" s="455"/>
      <c r="AN33" s="456"/>
      <c r="AO33" s="456"/>
      <c r="AR33" s="455"/>
      <c r="AS33" s="456"/>
      <c r="AT33" s="456"/>
      <c r="AW33" s="455"/>
      <c r="AX33" s="456"/>
      <c r="AY33" s="456"/>
    </row>
    <row r="34" spans="1:53" x14ac:dyDescent="0.2">
      <c r="A34" s="447">
        <f t="shared" si="0"/>
        <v>32</v>
      </c>
      <c r="B34" s="462">
        <v>116</v>
      </c>
      <c r="C34" s="458" t="s">
        <v>1508</v>
      </c>
      <c r="D34" s="455">
        <v>0</v>
      </c>
      <c r="E34" s="456"/>
      <c r="F34" s="456"/>
      <c r="G34" s="452">
        <v>37987</v>
      </c>
      <c r="H34" s="453">
        <v>42369</v>
      </c>
      <c r="I34" s="455">
        <v>5.0000000000000001E-3</v>
      </c>
      <c r="J34" s="456"/>
      <c r="K34" s="456"/>
      <c r="L34" s="452">
        <v>42370</v>
      </c>
      <c r="N34" s="455"/>
      <c r="O34" s="456"/>
      <c r="P34" s="456"/>
      <c r="S34" s="455"/>
      <c r="T34" s="456"/>
      <c r="U34" s="456"/>
      <c r="X34" s="455"/>
      <c r="Y34" s="456"/>
      <c r="Z34" s="456"/>
      <c r="AC34" s="455"/>
      <c r="AD34" s="456"/>
      <c r="AE34" s="456"/>
      <c r="AH34" s="455"/>
      <c r="AI34" s="456"/>
      <c r="AJ34" s="456"/>
      <c r="AM34" s="455"/>
      <c r="AN34" s="456"/>
      <c r="AO34" s="456"/>
      <c r="AR34" s="455"/>
      <c r="AS34" s="456"/>
      <c r="AT34" s="456"/>
      <c r="AW34" s="455"/>
      <c r="AX34" s="456"/>
      <c r="AY34" s="456"/>
    </row>
    <row r="35" spans="1:53" x14ac:dyDescent="0.2">
      <c r="A35" s="447">
        <f t="shared" si="0"/>
        <v>33</v>
      </c>
      <c r="B35" s="462">
        <v>102</v>
      </c>
      <c r="C35" s="458" t="s">
        <v>69</v>
      </c>
      <c r="D35" s="455">
        <v>0</v>
      </c>
      <c r="E35" s="456"/>
      <c r="F35" s="456"/>
      <c r="G35" s="452">
        <v>37987</v>
      </c>
      <c r="H35" s="453">
        <v>39082</v>
      </c>
      <c r="I35" s="455">
        <v>0.01</v>
      </c>
      <c r="J35" s="456"/>
      <c r="K35" s="456"/>
      <c r="L35" s="452">
        <v>39083</v>
      </c>
      <c r="N35" s="455"/>
      <c r="O35" s="456"/>
      <c r="P35" s="456"/>
      <c r="S35" s="455"/>
      <c r="T35" s="456"/>
      <c r="U35" s="456"/>
      <c r="X35" s="455"/>
      <c r="Y35" s="456"/>
      <c r="Z35" s="456"/>
      <c r="AC35" s="455"/>
      <c r="AD35" s="456"/>
      <c r="AE35" s="456"/>
      <c r="AH35" s="455"/>
      <c r="AI35" s="456"/>
      <c r="AJ35" s="456"/>
      <c r="AM35" s="455"/>
      <c r="AN35" s="456"/>
      <c r="AO35" s="456"/>
      <c r="AR35" s="455"/>
      <c r="AS35" s="456"/>
      <c r="AT35" s="456"/>
      <c r="AW35" s="455"/>
      <c r="AX35" s="456"/>
      <c r="AY35" s="456"/>
    </row>
    <row r="36" spans="1:53" x14ac:dyDescent="0.2">
      <c r="A36" s="447">
        <f t="shared" si="0"/>
        <v>34</v>
      </c>
      <c r="B36" s="462">
        <v>104</v>
      </c>
      <c r="C36" s="457" t="s">
        <v>823</v>
      </c>
      <c r="D36" s="455">
        <v>0.02</v>
      </c>
      <c r="E36" s="456"/>
      <c r="F36" s="456"/>
      <c r="G36" s="452">
        <v>37987</v>
      </c>
      <c r="H36" s="453">
        <v>40908</v>
      </c>
      <c r="I36" s="455">
        <v>2.5000000000000001E-2</v>
      </c>
      <c r="J36" s="456"/>
      <c r="K36" s="456"/>
      <c r="L36" s="452">
        <v>40909</v>
      </c>
      <c r="N36" s="455"/>
      <c r="O36" s="456"/>
      <c r="P36" s="456"/>
      <c r="S36" s="455"/>
      <c r="T36" s="456"/>
      <c r="U36" s="456"/>
      <c r="X36" s="455"/>
      <c r="Y36" s="456"/>
      <c r="Z36" s="456"/>
      <c r="AC36" s="455"/>
      <c r="AD36" s="456"/>
      <c r="AE36" s="456"/>
      <c r="AH36" s="455"/>
      <c r="AI36" s="456"/>
      <c r="AJ36" s="456"/>
      <c r="AM36" s="455"/>
      <c r="AN36" s="456"/>
      <c r="AO36" s="456"/>
      <c r="AR36" s="455"/>
      <c r="AS36" s="456"/>
      <c r="AT36" s="456"/>
      <c r="AW36" s="455"/>
      <c r="AX36" s="456"/>
      <c r="AY36" s="456"/>
    </row>
    <row r="37" spans="1:53" x14ac:dyDescent="0.2">
      <c r="A37" s="447">
        <f t="shared" si="0"/>
        <v>35</v>
      </c>
      <c r="B37" s="462">
        <v>96</v>
      </c>
      <c r="C37" s="458" t="s">
        <v>1224</v>
      </c>
      <c r="D37" s="455">
        <v>0.01</v>
      </c>
      <c r="E37" s="456"/>
      <c r="F37" s="456"/>
      <c r="G37" s="452">
        <v>37987</v>
      </c>
      <c r="I37" s="455"/>
      <c r="J37" s="456"/>
      <c r="K37" s="456"/>
      <c r="N37" s="455"/>
      <c r="O37" s="456"/>
      <c r="P37" s="456"/>
      <c r="S37" s="455"/>
      <c r="T37" s="456"/>
      <c r="U37" s="456"/>
      <c r="X37" s="455"/>
      <c r="Y37" s="456"/>
      <c r="Z37" s="456"/>
      <c r="AC37" s="455"/>
      <c r="AD37" s="456"/>
      <c r="AE37" s="456"/>
      <c r="AH37" s="455"/>
      <c r="AI37" s="456"/>
      <c r="AJ37" s="456"/>
      <c r="AM37" s="455"/>
      <c r="AN37" s="456"/>
      <c r="AO37" s="456"/>
      <c r="AR37" s="455"/>
      <c r="AS37" s="456"/>
      <c r="AT37" s="456"/>
      <c r="AW37" s="455"/>
      <c r="AX37" s="456"/>
      <c r="AY37" s="456"/>
    </row>
    <row r="38" spans="1:53" x14ac:dyDescent="0.2">
      <c r="A38" s="447">
        <f t="shared" si="0"/>
        <v>36</v>
      </c>
      <c r="B38" s="462">
        <v>95</v>
      </c>
      <c r="C38" s="457" t="s">
        <v>1065</v>
      </c>
      <c r="D38" s="455">
        <v>0</v>
      </c>
      <c r="E38" s="456"/>
      <c r="F38" s="456"/>
      <c r="G38" s="452">
        <v>37987</v>
      </c>
      <c r="H38" s="453">
        <v>39447</v>
      </c>
      <c r="I38" s="455">
        <v>0.01</v>
      </c>
      <c r="J38" s="456"/>
      <c r="K38" s="456"/>
      <c r="L38" s="452">
        <v>39448</v>
      </c>
      <c r="N38" s="455"/>
      <c r="O38" s="456"/>
      <c r="P38" s="456"/>
      <c r="S38" s="455"/>
      <c r="T38" s="456"/>
      <c r="U38" s="456"/>
      <c r="X38" s="455"/>
      <c r="Y38" s="456"/>
      <c r="Z38" s="456"/>
      <c r="AC38" s="455"/>
      <c r="AD38" s="456"/>
      <c r="AE38" s="456"/>
      <c r="AH38" s="455"/>
      <c r="AI38" s="456"/>
      <c r="AJ38" s="456"/>
      <c r="AM38" s="455"/>
      <c r="AN38" s="456"/>
      <c r="AO38" s="456"/>
      <c r="AR38" s="455"/>
      <c r="AS38" s="456"/>
      <c r="AT38" s="456"/>
      <c r="AW38" s="455"/>
      <c r="AX38" s="456"/>
      <c r="AY38" s="456"/>
    </row>
    <row r="39" spans="1:53" s="763" customFormat="1" x14ac:dyDescent="0.2">
      <c r="A39" s="756">
        <f t="shared" si="0"/>
        <v>37</v>
      </c>
      <c r="B39" s="777">
        <v>123</v>
      </c>
      <c r="C39" s="778" t="s">
        <v>1770</v>
      </c>
      <c r="D39" s="759">
        <v>0</v>
      </c>
      <c r="E39" s="760"/>
      <c r="F39" s="760"/>
      <c r="G39" s="761">
        <v>37987</v>
      </c>
      <c r="H39" s="762">
        <v>43465</v>
      </c>
      <c r="I39" s="759">
        <v>0.01</v>
      </c>
      <c r="J39" s="760"/>
      <c r="K39" s="760"/>
      <c r="L39" s="761">
        <v>43466</v>
      </c>
      <c r="M39" s="762"/>
      <c r="N39" s="759"/>
      <c r="O39" s="760"/>
      <c r="P39" s="760"/>
      <c r="Q39" s="761"/>
      <c r="R39" s="762"/>
      <c r="S39" s="759"/>
      <c r="T39" s="760"/>
      <c r="U39" s="760"/>
      <c r="V39" s="761"/>
      <c r="W39" s="762"/>
      <c r="X39" s="759"/>
      <c r="Y39" s="760"/>
      <c r="Z39" s="760"/>
      <c r="AA39" s="761"/>
      <c r="AB39" s="762"/>
      <c r="AC39" s="759"/>
      <c r="AD39" s="760"/>
      <c r="AE39" s="760"/>
      <c r="AF39" s="761"/>
      <c r="AG39" s="762"/>
      <c r="AH39" s="759"/>
      <c r="AI39" s="760"/>
      <c r="AJ39" s="760"/>
      <c r="AK39" s="761"/>
      <c r="AL39" s="762"/>
      <c r="AM39" s="759"/>
      <c r="AN39" s="760"/>
      <c r="AO39" s="760"/>
      <c r="AP39" s="761"/>
      <c r="AQ39" s="762"/>
      <c r="AR39" s="759"/>
      <c r="AS39" s="760"/>
      <c r="AT39" s="760"/>
      <c r="AU39" s="761"/>
      <c r="AV39" s="762"/>
      <c r="AW39" s="759"/>
      <c r="AX39" s="760"/>
      <c r="AY39" s="760"/>
      <c r="AZ39" s="761"/>
      <c r="BA39" s="762"/>
    </row>
    <row r="40" spans="1:53" x14ac:dyDescent="0.2">
      <c r="A40" s="447">
        <f t="shared" si="0"/>
        <v>38</v>
      </c>
      <c r="B40" s="462">
        <v>110</v>
      </c>
      <c r="C40" s="457" t="s">
        <v>824</v>
      </c>
      <c r="D40" s="459">
        <v>1.4999999999999999E-2</v>
      </c>
      <c r="E40" s="460"/>
      <c r="F40" s="460"/>
      <c r="G40" s="452">
        <v>37987</v>
      </c>
      <c r="H40" s="453">
        <v>38352</v>
      </c>
      <c r="I40" s="455">
        <v>0.02</v>
      </c>
      <c r="J40" s="456"/>
      <c r="K40" s="456"/>
      <c r="L40" s="452">
        <v>38353</v>
      </c>
      <c r="N40" s="455"/>
      <c r="O40" s="456"/>
      <c r="P40" s="456"/>
      <c r="S40" s="455"/>
      <c r="T40" s="456"/>
      <c r="U40" s="456"/>
      <c r="X40" s="455"/>
      <c r="Y40" s="456"/>
      <c r="Z40" s="456"/>
      <c r="AC40" s="455"/>
      <c r="AD40" s="456"/>
      <c r="AE40" s="456"/>
      <c r="AH40" s="455"/>
      <c r="AI40" s="456"/>
      <c r="AJ40" s="456"/>
      <c r="AM40" s="455"/>
      <c r="AN40" s="456"/>
      <c r="AO40" s="456"/>
      <c r="AR40" s="455"/>
      <c r="AS40" s="456"/>
      <c r="AT40" s="456"/>
      <c r="AW40" s="455"/>
      <c r="AX40" s="456"/>
      <c r="AY40" s="456"/>
    </row>
    <row r="41" spans="1:53" x14ac:dyDescent="0.2">
      <c r="A41" s="447">
        <f t="shared" si="0"/>
        <v>39</v>
      </c>
      <c r="B41" s="462">
        <v>117</v>
      </c>
      <c r="C41" s="458" t="s">
        <v>1490</v>
      </c>
      <c r="D41" s="459">
        <v>0</v>
      </c>
      <c r="E41" s="460"/>
      <c r="F41" s="460"/>
      <c r="G41" s="452">
        <v>39448</v>
      </c>
      <c r="H41" s="453">
        <v>40908</v>
      </c>
      <c r="I41" s="455">
        <v>0.02</v>
      </c>
      <c r="J41" s="456"/>
      <c r="K41" s="456"/>
      <c r="L41" s="452">
        <v>40909</v>
      </c>
      <c r="N41" s="455"/>
      <c r="O41" s="456"/>
      <c r="P41" s="456"/>
      <c r="S41" s="455"/>
      <c r="T41" s="456"/>
      <c r="U41" s="456"/>
      <c r="X41" s="455"/>
      <c r="Y41" s="456"/>
      <c r="Z41" s="456"/>
      <c r="AC41" s="455"/>
      <c r="AD41" s="456"/>
      <c r="AE41" s="456"/>
      <c r="AH41" s="455"/>
      <c r="AI41" s="456"/>
      <c r="AJ41" s="456"/>
      <c r="AM41" s="455"/>
      <c r="AN41" s="456"/>
      <c r="AO41" s="456"/>
      <c r="AR41" s="455"/>
      <c r="AS41" s="456"/>
      <c r="AT41" s="456"/>
      <c r="AW41" s="455"/>
      <c r="AX41" s="456"/>
      <c r="AY41" s="456"/>
    </row>
    <row r="42" spans="1:53" x14ac:dyDescent="0.2">
      <c r="A42" s="447">
        <f t="shared" si="0"/>
        <v>40</v>
      </c>
      <c r="B42" s="462">
        <v>130</v>
      </c>
      <c r="C42" s="457" t="s">
        <v>825</v>
      </c>
      <c r="D42" s="455">
        <v>0.02</v>
      </c>
      <c r="E42" s="456"/>
      <c r="F42" s="456"/>
      <c r="G42" s="452">
        <v>37987</v>
      </c>
      <c r="I42" s="455"/>
      <c r="J42" s="456"/>
      <c r="K42" s="456"/>
      <c r="N42" s="455"/>
      <c r="O42" s="456"/>
      <c r="P42" s="456"/>
      <c r="S42" s="455"/>
      <c r="T42" s="456"/>
      <c r="U42" s="456"/>
      <c r="X42" s="455"/>
      <c r="Y42" s="456"/>
      <c r="Z42" s="456"/>
      <c r="AC42" s="455"/>
      <c r="AD42" s="456"/>
      <c r="AE42" s="456"/>
      <c r="AH42" s="455"/>
      <c r="AI42" s="456"/>
      <c r="AJ42" s="456"/>
      <c r="AM42" s="455"/>
      <c r="AN42" s="456"/>
      <c r="AO42" s="456"/>
      <c r="AR42" s="455"/>
      <c r="AS42" s="456"/>
      <c r="AT42" s="456"/>
      <c r="AW42" s="455"/>
      <c r="AX42" s="456"/>
      <c r="AY42" s="456"/>
    </row>
    <row r="43" spans="1:53" x14ac:dyDescent="0.2">
      <c r="A43" s="447">
        <f t="shared" si="0"/>
        <v>41</v>
      </c>
      <c r="B43" s="462">
        <v>132</v>
      </c>
      <c r="C43" s="457" t="s">
        <v>952</v>
      </c>
      <c r="D43" s="455">
        <v>0</v>
      </c>
      <c r="E43" s="456"/>
      <c r="F43" s="456"/>
      <c r="G43" s="452">
        <v>37987</v>
      </c>
      <c r="H43" s="453">
        <v>38352</v>
      </c>
      <c r="I43" s="455">
        <v>0.01</v>
      </c>
      <c r="J43" s="456"/>
      <c r="K43" s="456"/>
      <c r="L43" s="452">
        <v>38353</v>
      </c>
      <c r="N43" s="455"/>
      <c r="O43" s="456"/>
      <c r="P43" s="456"/>
      <c r="S43" s="455"/>
      <c r="T43" s="456"/>
      <c r="U43" s="456"/>
      <c r="X43" s="455"/>
      <c r="Y43" s="456"/>
      <c r="Z43" s="456"/>
      <c r="AC43" s="455"/>
      <c r="AD43" s="456"/>
      <c r="AE43" s="456"/>
      <c r="AH43" s="455"/>
      <c r="AI43" s="456"/>
      <c r="AJ43" s="456"/>
      <c r="AM43" s="455"/>
      <c r="AN43" s="456"/>
      <c r="AO43" s="456"/>
      <c r="AR43" s="455"/>
      <c r="AS43" s="456"/>
      <c r="AT43" s="456"/>
      <c r="AW43" s="455"/>
      <c r="AX43" s="456"/>
      <c r="AY43" s="456"/>
    </row>
    <row r="44" spans="1:53" s="763" customFormat="1" x14ac:dyDescent="0.2">
      <c r="A44" s="756">
        <f t="shared" si="0"/>
        <v>42</v>
      </c>
      <c r="B44" s="777">
        <v>136</v>
      </c>
      <c r="C44" s="778" t="s">
        <v>1655</v>
      </c>
      <c r="D44" s="759">
        <v>0</v>
      </c>
      <c r="E44" s="760"/>
      <c r="F44" s="760"/>
      <c r="G44" s="761">
        <v>37987</v>
      </c>
      <c r="H44" s="762">
        <v>43465</v>
      </c>
      <c r="I44" s="759">
        <v>0.02</v>
      </c>
      <c r="J44" s="760"/>
      <c r="K44" s="760"/>
      <c r="L44" s="761">
        <v>43466</v>
      </c>
      <c r="M44" s="762"/>
      <c r="N44" s="759"/>
      <c r="O44" s="760"/>
      <c r="P44" s="760"/>
      <c r="Q44" s="761"/>
      <c r="R44" s="762"/>
      <c r="S44" s="759"/>
      <c r="T44" s="760"/>
      <c r="U44" s="760"/>
      <c r="V44" s="761"/>
      <c r="W44" s="762"/>
      <c r="X44" s="759"/>
      <c r="Y44" s="760"/>
      <c r="Z44" s="760"/>
      <c r="AA44" s="761"/>
      <c r="AB44" s="762"/>
      <c r="AC44" s="759"/>
      <c r="AD44" s="760"/>
      <c r="AE44" s="760"/>
      <c r="AF44" s="761"/>
      <c r="AG44" s="762"/>
      <c r="AH44" s="759"/>
      <c r="AI44" s="760"/>
      <c r="AJ44" s="760"/>
      <c r="AK44" s="761"/>
      <c r="AL44" s="762"/>
      <c r="AM44" s="759"/>
      <c r="AN44" s="760"/>
      <c r="AO44" s="760"/>
      <c r="AP44" s="761"/>
      <c r="AQ44" s="762"/>
      <c r="AR44" s="759"/>
      <c r="AS44" s="760"/>
      <c r="AT44" s="760"/>
      <c r="AU44" s="761"/>
      <c r="AV44" s="762"/>
      <c r="AW44" s="759"/>
      <c r="AX44" s="760"/>
      <c r="AY44" s="760"/>
      <c r="AZ44" s="761"/>
      <c r="BA44" s="762"/>
    </row>
    <row r="45" spans="1:53" x14ac:dyDescent="0.2">
      <c r="A45" s="447">
        <f t="shared" si="0"/>
        <v>43</v>
      </c>
      <c r="B45" s="462">
        <v>137</v>
      </c>
      <c r="C45" s="458" t="s">
        <v>1468</v>
      </c>
      <c r="D45" s="455">
        <v>2.5000000000000001E-3</v>
      </c>
      <c r="E45" s="456"/>
      <c r="F45" s="456"/>
      <c r="G45" s="452">
        <v>37987</v>
      </c>
      <c r="H45" s="453">
        <v>38717</v>
      </c>
      <c r="I45" s="455">
        <v>5.0000000000000001E-3</v>
      </c>
      <c r="J45" s="456"/>
      <c r="K45" s="456"/>
      <c r="L45" s="452">
        <v>38718</v>
      </c>
      <c r="M45" s="453">
        <v>39813</v>
      </c>
      <c r="N45" s="455">
        <v>7.4999999999999997E-3</v>
      </c>
      <c r="O45" s="456"/>
      <c r="P45" s="456"/>
      <c r="Q45" s="452">
        <v>39814</v>
      </c>
      <c r="R45" s="453">
        <v>40908</v>
      </c>
      <c r="S45" s="455">
        <v>0.01</v>
      </c>
      <c r="T45" s="456"/>
      <c r="U45" s="456"/>
      <c r="V45" s="452">
        <v>40909</v>
      </c>
      <c r="W45" s="453">
        <v>42004</v>
      </c>
      <c r="X45" s="455">
        <v>1.2500000000000001E-2</v>
      </c>
      <c r="Y45" s="456"/>
      <c r="Z45" s="456"/>
      <c r="AA45" s="452">
        <v>42005</v>
      </c>
      <c r="AC45" s="455"/>
      <c r="AD45" s="456"/>
      <c r="AE45" s="456"/>
      <c r="AH45" s="455"/>
      <c r="AI45" s="456"/>
      <c r="AJ45" s="456"/>
      <c r="AM45" s="455"/>
      <c r="AN45" s="456"/>
      <c r="AO45" s="456"/>
      <c r="AR45" s="455"/>
      <c r="AS45" s="456"/>
      <c r="AT45" s="456"/>
      <c r="AW45" s="455"/>
      <c r="AX45" s="456"/>
      <c r="AY45" s="456"/>
    </row>
    <row r="46" spans="1:53" x14ac:dyDescent="0.2">
      <c r="A46" s="447">
        <f t="shared" si="0"/>
        <v>44</v>
      </c>
      <c r="B46" s="462">
        <v>140</v>
      </c>
      <c r="C46" s="457" t="s">
        <v>826</v>
      </c>
      <c r="D46" s="455">
        <v>0.02</v>
      </c>
      <c r="E46" s="456"/>
      <c r="F46" s="456"/>
      <c r="G46" s="452">
        <v>37987</v>
      </c>
      <c r="I46" s="455"/>
      <c r="J46" s="456"/>
      <c r="K46" s="456"/>
      <c r="N46" s="455"/>
      <c r="O46" s="456"/>
      <c r="P46" s="456"/>
      <c r="S46" s="455"/>
      <c r="T46" s="456"/>
      <c r="U46" s="456"/>
      <c r="X46" s="455"/>
      <c r="Y46" s="456"/>
      <c r="Z46" s="456"/>
      <c r="AC46" s="455"/>
      <c r="AD46" s="456"/>
      <c r="AE46" s="456"/>
      <c r="AH46" s="455"/>
      <c r="AI46" s="456"/>
      <c r="AJ46" s="456"/>
      <c r="AM46" s="455"/>
      <c r="AN46" s="456"/>
      <c r="AO46" s="456"/>
      <c r="AR46" s="455"/>
      <c r="AS46" s="456"/>
      <c r="AT46" s="456"/>
      <c r="AW46" s="455"/>
      <c r="AX46" s="456"/>
      <c r="AY46" s="456"/>
    </row>
    <row r="47" spans="1:53" x14ac:dyDescent="0.2">
      <c r="A47" s="447">
        <f t="shared" si="0"/>
        <v>45</v>
      </c>
      <c r="B47" s="462">
        <v>150</v>
      </c>
      <c r="C47" s="457" t="s">
        <v>1308</v>
      </c>
      <c r="D47" s="455">
        <v>0.02</v>
      </c>
      <c r="E47" s="456"/>
      <c r="F47" s="456"/>
      <c r="G47" s="452">
        <v>37987</v>
      </c>
      <c r="H47" s="453">
        <v>39964</v>
      </c>
      <c r="I47" s="455">
        <v>2.5000000000000001E-2</v>
      </c>
      <c r="J47" s="456"/>
      <c r="K47" s="456"/>
      <c r="L47" s="452">
        <v>39965</v>
      </c>
      <c r="N47" s="455"/>
      <c r="O47" s="456"/>
      <c r="P47" s="456"/>
      <c r="S47" s="455"/>
      <c r="T47" s="456"/>
      <c r="U47" s="456"/>
      <c r="X47" s="455"/>
      <c r="Y47" s="456"/>
      <c r="Z47" s="456"/>
      <c r="AC47" s="455"/>
      <c r="AD47" s="456"/>
      <c r="AE47" s="456"/>
      <c r="AH47" s="455"/>
      <c r="AI47" s="456"/>
      <c r="AJ47" s="456"/>
      <c r="AM47" s="455"/>
      <c r="AN47" s="456"/>
      <c r="AO47" s="456"/>
      <c r="AR47" s="455"/>
      <c r="AS47" s="456"/>
      <c r="AT47" s="456"/>
      <c r="AW47" s="455"/>
      <c r="AX47" s="456"/>
      <c r="AY47" s="456"/>
    </row>
    <row r="48" spans="1:53" x14ac:dyDescent="0.2">
      <c r="A48" s="447">
        <f t="shared" si="0"/>
        <v>46</v>
      </c>
      <c r="B48" s="462">
        <v>160</v>
      </c>
      <c r="C48" s="457" t="s">
        <v>827</v>
      </c>
      <c r="D48" s="455">
        <v>0.02</v>
      </c>
      <c r="E48" s="456"/>
      <c r="F48" s="456"/>
      <c r="G48" s="452">
        <v>37987</v>
      </c>
      <c r="H48" s="453">
        <v>43281</v>
      </c>
      <c r="I48" s="455">
        <v>2.5000000000000001E-2</v>
      </c>
      <c r="J48" s="456"/>
      <c r="K48" s="456"/>
      <c r="L48" s="452">
        <v>43282</v>
      </c>
      <c r="N48" s="455"/>
      <c r="O48" s="456"/>
      <c r="P48" s="456"/>
      <c r="S48" s="455"/>
      <c r="T48" s="456"/>
      <c r="U48" s="456"/>
      <c r="X48" s="455"/>
      <c r="Y48" s="456"/>
      <c r="Z48" s="456"/>
      <c r="AC48" s="455"/>
      <c r="AD48" s="456"/>
      <c r="AE48" s="456"/>
      <c r="AH48" s="455"/>
      <c r="AI48" s="456"/>
      <c r="AJ48" s="456"/>
      <c r="AM48" s="455"/>
      <c r="AN48" s="456"/>
      <c r="AO48" s="456"/>
      <c r="AR48" s="455"/>
      <c r="AS48" s="456"/>
      <c r="AT48" s="456"/>
      <c r="AW48" s="455"/>
      <c r="AX48" s="456"/>
      <c r="AY48" s="456"/>
    </row>
    <row r="49" spans="1:53" x14ac:dyDescent="0.2">
      <c r="A49" s="447">
        <f t="shared" si="0"/>
        <v>47</v>
      </c>
      <c r="B49" s="462">
        <v>154</v>
      </c>
      <c r="C49" s="458" t="s">
        <v>493</v>
      </c>
      <c r="D49" s="455">
        <v>0</v>
      </c>
      <c r="E49" s="456"/>
      <c r="F49" s="456"/>
      <c r="G49" s="452">
        <v>37987</v>
      </c>
      <c r="H49" s="453">
        <v>41455</v>
      </c>
      <c r="I49" s="455">
        <v>0.01</v>
      </c>
      <c r="J49" s="456"/>
      <c r="K49" s="456"/>
      <c r="L49" s="452">
        <v>41456</v>
      </c>
      <c r="N49" s="455"/>
      <c r="O49" s="456"/>
      <c r="P49" s="456"/>
      <c r="S49" s="455"/>
      <c r="T49" s="456"/>
      <c r="U49" s="456"/>
      <c r="X49" s="455"/>
      <c r="Y49" s="456"/>
      <c r="Z49" s="456"/>
      <c r="AC49" s="455"/>
      <c r="AD49" s="456"/>
      <c r="AE49" s="456"/>
      <c r="AH49" s="455"/>
      <c r="AI49" s="456"/>
      <c r="AJ49" s="456"/>
      <c r="AM49" s="455"/>
      <c r="AN49" s="456"/>
      <c r="AO49" s="456"/>
      <c r="AR49" s="455"/>
      <c r="AS49" s="456"/>
      <c r="AT49" s="456"/>
      <c r="AW49" s="455"/>
      <c r="AX49" s="456"/>
      <c r="AY49" s="456"/>
    </row>
    <row r="50" spans="1:53" x14ac:dyDescent="0.2">
      <c r="A50" s="447">
        <f t="shared" si="0"/>
        <v>48</v>
      </c>
      <c r="B50" s="462">
        <v>162</v>
      </c>
      <c r="C50" s="457" t="s">
        <v>1365</v>
      </c>
      <c r="D50" s="455">
        <v>0</v>
      </c>
      <c r="E50" s="456"/>
      <c r="F50" s="456"/>
      <c r="G50" s="452">
        <v>37987</v>
      </c>
      <c r="H50" s="453">
        <v>38807</v>
      </c>
      <c r="I50" s="455">
        <v>0.01</v>
      </c>
      <c r="J50" s="456"/>
      <c r="K50" s="456"/>
      <c r="L50" s="452">
        <v>38808</v>
      </c>
      <c r="M50" s="453">
        <v>39263</v>
      </c>
      <c r="N50" s="455">
        <v>5.0000000000000001E-3</v>
      </c>
      <c r="O50" s="456"/>
      <c r="P50" s="456"/>
      <c r="Q50" s="452">
        <v>39264</v>
      </c>
      <c r="S50" s="455"/>
      <c r="T50" s="456"/>
      <c r="U50" s="456"/>
      <c r="X50" s="455"/>
      <c r="Y50" s="456"/>
      <c r="Z50" s="456"/>
      <c r="AC50" s="455"/>
      <c r="AD50" s="456"/>
      <c r="AE50" s="456"/>
      <c r="AH50" s="455"/>
      <c r="AI50" s="456"/>
      <c r="AJ50" s="456"/>
      <c r="AM50" s="455"/>
      <c r="AN50" s="456"/>
      <c r="AO50" s="456"/>
      <c r="AR50" s="455"/>
      <c r="AS50" s="456"/>
      <c r="AT50" s="456"/>
      <c r="AW50" s="455"/>
      <c r="AX50" s="456"/>
      <c r="AY50" s="456"/>
    </row>
    <row r="51" spans="1:53" x14ac:dyDescent="0.2">
      <c r="A51" s="447">
        <f t="shared" si="0"/>
        <v>49</v>
      </c>
      <c r="B51" s="462">
        <v>232</v>
      </c>
      <c r="C51" s="458" t="s">
        <v>767</v>
      </c>
      <c r="D51" s="455">
        <v>0</v>
      </c>
      <c r="E51" s="456"/>
      <c r="F51" s="456"/>
      <c r="G51" s="452">
        <v>37987</v>
      </c>
      <c r="H51" s="453">
        <v>41639</v>
      </c>
      <c r="I51" s="455">
        <v>0.01</v>
      </c>
      <c r="J51" s="456"/>
      <c r="K51" s="456"/>
      <c r="L51" s="452">
        <v>41640</v>
      </c>
      <c r="N51" s="455"/>
      <c r="O51" s="456"/>
      <c r="P51" s="456"/>
      <c r="S51" s="455"/>
      <c r="T51" s="456"/>
      <c r="U51" s="456"/>
      <c r="X51" s="455"/>
      <c r="Y51" s="456"/>
      <c r="Z51" s="456"/>
      <c r="AC51" s="455"/>
      <c r="AD51" s="456"/>
      <c r="AE51" s="456"/>
      <c r="AH51" s="455"/>
      <c r="AI51" s="456"/>
      <c r="AJ51" s="456"/>
      <c r="AM51" s="455"/>
      <c r="AN51" s="456"/>
      <c r="AO51" s="456"/>
      <c r="AR51" s="455"/>
      <c r="AS51" s="456"/>
      <c r="AT51" s="456"/>
      <c r="AW51" s="455"/>
      <c r="AX51" s="456"/>
      <c r="AY51" s="456"/>
    </row>
    <row r="52" spans="1:53" x14ac:dyDescent="0.2">
      <c r="A52" s="447">
        <f t="shared" si="0"/>
        <v>50</v>
      </c>
      <c r="B52" s="462">
        <v>167</v>
      </c>
      <c r="C52" s="457" t="s">
        <v>828</v>
      </c>
      <c r="D52" s="455">
        <v>0.02</v>
      </c>
      <c r="E52" s="456"/>
      <c r="F52" s="456"/>
      <c r="G52" s="452">
        <v>37987</v>
      </c>
      <c r="H52" s="453">
        <v>38352</v>
      </c>
      <c r="I52" s="455">
        <v>2.5000000000000001E-2</v>
      </c>
      <c r="J52" s="456"/>
      <c r="K52" s="456"/>
      <c r="L52" s="452">
        <v>38353</v>
      </c>
      <c r="N52" s="455"/>
      <c r="O52" s="456"/>
      <c r="P52" s="456"/>
      <c r="S52" s="455"/>
      <c r="T52" s="456"/>
      <c r="U52" s="456"/>
      <c r="X52" s="455"/>
      <c r="Y52" s="456"/>
      <c r="Z52" s="456"/>
      <c r="AC52" s="455"/>
      <c r="AD52" s="456"/>
      <c r="AE52" s="456"/>
      <c r="AH52" s="455"/>
      <c r="AI52" s="456"/>
      <c r="AJ52" s="456"/>
      <c r="AM52" s="455"/>
      <c r="AN52" s="456"/>
      <c r="AO52" s="456"/>
      <c r="AR52" s="455"/>
      <c r="AS52" s="456"/>
      <c r="AT52" s="456"/>
      <c r="AW52" s="455"/>
      <c r="AX52" s="456"/>
      <c r="AY52" s="456"/>
    </row>
    <row r="53" spans="1:53" s="763" customFormat="1" x14ac:dyDescent="0.2">
      <c r="A53" s="756">
        <f t="shared" si="0"/>
        <v>51</v>
      </c>
      <c r="B53" s="777">
        <v>175</v>
      </c>
      <c r="C53" s="778" t="s">
        <v>1656</v>
      </c>
      <c r="D53" s="759">
        <v>0</v>
      </c>
      <c r="E53" s="760"/>
      <c r="F53" s="760"/>
      <c r="G53" s="761">
        <v>37987</v>
      </c>
      <c r="H53" s="762">
        <v>43465</v>
      </c>
      <c r="I53" s="759">
        <v>0.02</v>
      </c>
      <c r="J53" s="760"/>
      <c r="K53" s="760"/>
      <c r="L53" s="761">
        <v>43466</v>
      </c>
      <c r="M53" s="762"/>
      <c r="N53" s="759"/>
      <c r="O53" s="760"/>
      <c r="P53" s="760"/>
      <c r="Q53" s="761"/>
      <c r="R53" s="762"/>
      <c r="S53" s="759"/>
      <c r="T53" s="760"/>
      <c r="U53" s="760"/>
      <c r="V53" s="761"/>
      <c r="W53" s="762"/>
      <c r="X53" s="759"/>
      <c r="Y53" s="760"/>
      <c r="Z53" s="760"/>
      <c r="AA53" s="761"/>
      <c r="AB53" s="762"/>
      <c r="AC53" s="759"/>
      <c r="AD53" s="760"/>
      <c r="AE53" s="760"/>
      <c r="AF53" s="761"/>
      <c r="AG53" s="762"/>
      <c r="AH53" s="759"/>
      <c r="AI53" s="760"/>
      <c r="AJ53" s="760"/>
      <c r="AK53" s="761"/>
      <c r="AL53" s="762"/>
      <c r="AM53" s="759"/>
      <c r="AN53" s="760"/>
      <c r="AO53" s="760"/>
      <c r="AP53" s="761"/>
      <c r="AQ53" s="762"/>
      <c r="AR53" s="759"/>
      <c r="AS53" s="760"/>
      <c r="AT53" s="760"/>
      <c r="AU53" s="761"/>
      <c r="AV53" s="762"/>
      <c r="AW53" s="759"/>
      <c r="AX53" s="760"/>
      <c r="AY53" s="760"/>
      <c r="AZ53" s="761"/>
      <c r="BA53" s="762"/>
    </row>
    <row r="54" spans="1:53" x14ac:dyDescent="0.2">
      <c r="A54" s="447">
        <f t="shared" si="0"/>
        <v>52</v>
      </c>
      <c r="B54" s="462">
        <v>168</v>
      </c>
      <c r="C54" s="457" t="s">
        <v>829</v>
      </c>
      <c r="D54" s="455">
        <v>0.01</v>
      </c>
      <c r="E54" s="456"/>
      <c r="F54" s="456"/>
      <c r="G54" s="452">
        <v>37987</v>
      </c>
      <c r="I54" s="455"/>
      <c r="J54" s="456"/>
      <c r="K54" s="456"/>
      <c r="N54" s="455"/>
      <c r="O54" s="456"/>
      <c r="P54" s="456"/>
      <c r="S54" s="455"/>
      <c r="T54" s="456"/>
      <c r="U54" s="456"/>
      <c r="X54" s="455"/>
      <c r="Y54" s="456"/>
      <c r="Z54" s="456"/>
      <c r="AC54" s="455"/>
      <c r="AD54" s="456"/>
      <c r="AE54" s="456"/>
      <c r="AH54" s="455"/>
      <c r="AI54" s="456"/>
      <c r="AJ54" s="456"/>
      <c r="AM54" s="455"/>
      <c r="AN54" s="456"/>
      <c r="AO54" s="456"/>
      <c r="AR54" s="455"/>
      <c r="AS54" s="456"/>
      <c r="AT54" s="456"/>
      <c r="AW54" s="455"/>
      <c r="AX54" s="456"/>
      <c r="AY54" s="456"/>
    </row>
    <row r="55" spans="1:53" x14ac:dyDescent="0.2">
      <c r="A55" s="447">
        <f t="shared" si="0"/>
        <v>53</v>
      </c>
      <c r="B55" s="462">
        <v>202</v>
      </c>
      <c r="C55" s="457" t="s">
        <v>953</v>
      </c>
      <c r="D55" s="459">
        <v>0</v>
      </c>
      <c r="E55" s="460"/>
      <c r="F55" s="460"/>
      <c r="G55" s="452">
        <v>37987</v>
      </c>
      <c r="H55" s="453">
        <v>38352</v>
      </c>
      <c r="I55" s="455">
        <v>7.4999999999999997E-3</v>
      </c>
      <c r="J55" s="456"/>
      <c r="K55" s="456"/>
      <c r="L55" s="452">
        <v>38353</v>
      </c>
      <c r="N55" s="455"/>
      <c r="O55" s="456"/>
      <c r="P55" s="456"/>
      <c r="S55" s="455"/>
      <c r="T55" s="456"/>
      <c r="U55" s="456"/>
      <c r="X55" s="455"/>
      <c r="Y55" s="456"/>
      <c r="Z55" s="456"/>
      <c r="AC55" s="455"/>
      <c r="AD55" s="456"/>
      <c r="AE55" s="456"/>
      <c r="AH55" s="455"/>
      <c r="AI55" s="456"/>
      <c r="AJ55" s="456"/>
      <c r="AM55" s="455"/>
      <c r="AN55" s="456"/>
      <c r="AO55" s="456"/>
      <c r="AR55" s="455"/>
      <c r="AS55" s="456"/>
      <c r="AT55" s="456"/>
      <c r="AW55" s="455"/>
      <c r="AX55" s="456"/>
      <c r="AY55" s="456"/>
    </row>
    <row r="56" spans="1:53" s="763" customFormat="1" x14ac:dyDescent="0.2">
      <c r="A56" s="756">
        <f t="shared" si="0"/>
        <v>54</v>
      </c>
      <c r="B56" s="777">
        <v>203</v>
      </c>
      <c r="C56" s="778" t="s">
        <v>1771</v>
      </c>
      <c r="D56" s="759">
        <v>0</v>
      </c>
      <c r="E56" s="760"/>
      <c r="F56" s="760"/>
      <c r="G56" s="761">
        <v>37987</v>
      </c>
      <c r="H56" s="762">
        <v>38352</v>
      </c>
      <c r="I56" s="759">
        <v>0.01</v>
      </c>
      <c r="J56" s="760"/>
      <c r="K56" s="760"/>
      <c r="L56" s="761">
        <v>38353</v>
      </c>
      <c r="M56" s="762"/>
      <c r="N56" s="759"/>
      <c r="O56" s="760"/>
      <c r="P56" s="760"/>
      <c r="Q56" s="761"/>
      <c r="R56" s="762"/>
      <c r="S56" s="759"/>
      <c r="T56" s="760"/>
      <c r="U56" s="760"/>
      <c r="V56" s="761"/>
      <c r="W56" s="762"/>
      <c r="X56" s="759"/>
      <c r="Y56" s="760"/>
      <c r="Z56" s="760"/>
      <c r="AA56" s="761"/>
      <c r="AB56" s="762"/>
      <c r="AC56" s="759"/>
      <c r="AD56" s="760"/>
      <c r="AE56" s="760"/>
      <c r="AF56" s="761"/>
      <c r="AG56" s="762"/>
      <c r="AH56" s="759"/>
      <c r="AI56" s="760"/>
      <c r="AJ56" s="760"/>
      <c r="AK56" s="761"/>
      <c r="AL56" s="762"/>
      <c r="AM56" s="759"/>
      <c r="AN56" s="760"/>
      <c r="AO56" s="760"/>
      <c r="AP56" s="761"/>
      <c r="AQ56" s="762"/>
      <c r="AR56" s="759"/>
      <c r="AS56" s="760"/>
      <c r="AT56" s="760"/>
      <c r="AU56" s="761"/>
      <c r="AV56" s="762"/>
      <c r="AW56" s="759"/>
      <c r="AX56" s="760"/>
      <c r="AY56" s="760"/>
      <c r="AZ56" s="761"/>
      <c r="BA56" s="762"/>
    </row>
    <row r="57" spans="1:53" x14ac:dyDescent="0.2">
      <c r="A57" s="447">
        <f t="shared" si="0"/>
        <v>55</v>
      </c>
      <c r="B57" s="462">
        <v>204</v>
      </c>
      <c r="C57" s="458" t="s">
        <v>494</v>
      </c>
      <c r="D57" s="459">
        <v>0</v>
      </c>
      <c r="E57" s="460"/>
      <c r="F57" s="460"/>
      <c r="G57" s="452">
        <v>37987</v>
      </c>
      <c r="H57" s="453">
        <v>38352</v>
      </c>
      <c r="I57" s="455">
        <v>0.01</v>
      </c>
      <c r="J57" s="456"/>
      <c r="K57" s="456"/>
      <c r="L57" s="452">
        <v>38353</v>
      </c>
      <c r="N57" s="455"/>
      <c r="O57" s="456"/>
      <c r="P57" s="456"/>
      <c r="S57" s="455"/>
      <c r="T57" s="456"/>
      <c r="U57" s="456"/>
      <c r="X57" s="455"/>
      <c r="Y57" s="456"/>
      <c r="Z57" s="456"/>
      <c r="AC57" s="455"/>
      <c r="AD57" s="456"/>
      <c r="AE57" s="456"/>
      <c r="AH57" s="455"/>
      <c r="AI57" s="456"/>
      <c r="AJ57" s="456"/>
      <c r="AM57" s="455"/>
      <c r="AN57" s="456"/>
      <c r="AO57" s="456"/>
      <c r="AR57" s="455"/>
      <c r="AS57" s="456"/>
      <c r="AT57" s="456"/>
      <c r="AW57" s="455"/>
      <c r="AX57" s="456"/>
      <c r="AY57" s="456"/>
    </row>
    <row r="58" spans="1:53" x14ac:dyDescent="0.2">
      <c r="A58" s="447">
        <f t="shared" si="0"/>
        <v>56</v>
      </c>
      <c r="B58" s="462">
        <v>195</v>
      </c>
      <c r="C58" s="457" t="s">
        <v>830</v>
      </c>
      <c r="D58" s="459">
        <v>0.01</v>
      </c>
      <c r="E58" s="460"/>
      <c r="F58" s="460"/>
      <c r="G58" s="452">
        <v>37987</v>
      </c>
      <c r="I58" s="455"/>
      <c r="J58" s="456"/>
      <c r="K58" s="456"/>
      <c r="N58" s="455"/>
      <c r="O58" s="456"/>
      <c r="P58" s="456"/>
      <c r="S58" s="455"/>
      <c r="T58" s="456"/>
      <c r="U58" s="456"/>
      <c r="X58" s="455"/>
      <c r="Y58" s="456"/>
      <c r="Z58" s="456"/>
      <c r="AC58" s="455"/>
      <c r="AD58" s="456"/>
      <c r="AE58" s="456"/>
      <c r="AH58" s="455"/>
      <c r="AI58" s="456"/>
      <c r="AJ58" s="456"/>
      <c r="AM58" s="455"/>
      <c r="AN58" s="456"/>
      <c r="AO58" s="456"/>
      <c r="AR58" s="455"/>
      <c r="AS58" s="456"/>
      <c r="AT58" s="456"/>
      <c r="AW58" s="455"/>
      <c r="AX58" s="456"/>
      <c r="AY58" s="456"/>
    </row>
    <row r="59" spans="1:53" x14ac:dyDescent="0.2">
      <c r="A59" s="447">
        <f t="shared" si="0"/>
        <v>57</v>
      </c>
      <c r="B59" s="462">
        <v>192</v>
      </c>
      <c r="C59" s="458" t="s">
        <v>831</v>
      </c>
      <c r="D59" s="455">
        <v>0.01</v>
      </c>
      <c r="E59" s="456"/>
      <c r="F59" s="456"/>
      <c r="G59" s="452">
        <v>37987</v>
      </c>
      <c r="H59" s="453">
        <v>42185</v>
      </c>
      <c r="I59" s="455">
        <v>1.2500000000000001E-2</v>
      </c>
      <c r="J59" s="456"/>
      <c r="K59" s="456"/>
      <c r="L59" s="452">
        <v>42186</v>
      </c>
      <c r="N59" s="455"/>
      <c r="O59" s="456"/>
      <c r="P59" s="456"/>
      <c r="S59" s="455"/>
      <c r="T59" s="456"/>
      <c r="U59" s="456"/>
      <c r="X59" s="455"/>
      <c r="Y59" s="456"/>
      <c r="Z59" s="456"/>
      <c r="AC59" s="455"/>
      <c r="AD59" s="456"/>
      <c r="AE59" s="456"/>
      <c r="AH59" s="455"/>
      <c r="AI59" s="456"/>
      <c r="AJ59" s="456"/>
      <c r="AM59" s="455"/>
      <c r="AN59" s="456"/>
      <c r="AO59" s="456"/>
      <c r="AR59" s="455"/>
      <c r="AS59" s="456"/>
      <c r="AT59" s="456"/>
      <c r="AW59" s="455"/>
      <c r="AX59" s="456"/>
      <c r="AY59" s="456"/>
    </row>
    <row r="60" spans="1:53" x14ac:dyDescent="0.2">
      <c r="A60" s="447">
        <f t="shared" si="0"/>
        <v>58</v>
      </c>
      <c r="B60" s="462">
        <v>194</v>
      </c>
      <c r="C60" s="458" t="s">
        <v>832</v>
      </c>
      <c r="D60" s="455">
        <v>0.01</v>
      </c>
      <c r="E60" s="456"/>
      <c r="F60" s="456"/>
      <c r="G60" s="452">
        <v>37987</v>
      </c>
      <c r="I60" s="455"/>
      <c r="J60" s="456"/>
      <c r="K60" s="456"/>
      <c r="N60" s="455"/>
      <c r="O60" s="456"/>
      <c r="P60" s="456"/>
      <c r="S60" s="455"/>
      <c r="T60" s="456"/>
      <c r="U60" s="456"/>
      <c r="X60" s="455"/>
      <c r="Y60" s="456"/>
      <c r="Z60" s="456"/>
      <c r="AC60" s="455"/>
      <c r="AD60" s="456"/>
      <c r="AE60" s="456"/>
      <c r="AH60" s="455"/>
      <c r="AI60" s="456"/>
      <c r="AJ60" s="456"/>
      <c r="AM60" s="455"/>
      <c r="AN60" s="456"/>
      <c r="AO60" s="456"/>
      <c r="AR60" s="455"/>
      <c r="AS60" s="456"/>
      <c r="AT60" s="456"/>
      <c r="AW60" s="455"/>
      <c r="AX60" s="456"/>
      <c r="AY60" s="456"/>
    </row>
    <row r="61" spans="1:53" x14ac:dyDescent="0.2">
      <c r="A61" s="447">
        <f t="shared" si="0"/>
        <v>59</v>
      </c>
      <c r="B61" s="462">
        <v>180</v>
      </c>
      <c r="C61" s="457" t="s">
        <v>833</v>
      </c>
      <c r="D61" s="455">
        <v>1.4999999999999999E-2</v>
      </c>
      <c r="E61" s="456"/>
      <c r="F61" s="456"/>
      <c r="G61" s="452">
        <v>37987</v>
      </c>
      <c r="H61" s="453">
        <v>42735</v>
      </c>
      <c r="I61" s="455">
        <v>1.8499999999999999E-2</v>
      </c>
      <c r="J61" s="456"/>
      <c r="K61" s="456"/>
      <c r="L61" s="452">
        <v>42736</v>
      </c>
      <c r="N61" s="455"/>
      <c r="O61" s="456"/>
      <c r="P61" s="456"/>
      <c r="S61" s="455"/>
      <c r="T61" s="456"/>
      <c r="U61" s="456"/>
      <c r="X61" s="455"/>
      <c r="Y61" s="456"/>
      <c r="Z61" s="456"/>
      <c r="AC61" s="455"/>
      <c r="AD61" s="456"/>
      <c r="AE61" s="456"/>
      <c r="AH61" s="455"/>
      <c r="AI61" s="456"/>
      <c r="AJ61" s="456"/>
      <c r="AM61" s="455"/>
      <c r="AN61" s="456"/>
      <c r="AO61" s="456"/>
      <c r="AR61" s="455"/>
      <c r="AS61" s="456"/>
      <c r="AT61" s="456"/>
      <c r="AW61" s="455"/>
      <c r="AX61" s="456"/>
      <c r="AY61" s="456"/>
    </row>
    <row r="62" spans="1:53" x14ac:dyDescent="0.2">
      <c r="A62" s="447">
        <f t="shared" si="0"/>
        <v>60</v>
      </c>
      <c r="B62" s="462">
        <v>185</v>
      </c>
      <c r="C62" s="457" t="s">
        <v>1366</v>
      </c>
      <c r="D62" s="455">
        <v>0.01</v>
      </c>
      <c r="E62" s="456"/>
      <c r="F62" s="456"/>
      <c r="G62" s="452">
        <v>37987</v>
      </c>
      <c r="H62" s="453">
        <v>38352</v>
      </c>
      <c r="I62" s="455">
        <v>0.02</v>
      </c>
      <c r="J62" s="456"/>
      <c r="K62" s="456"/>
      <c r="L62" s="452">
        <v>38353</v>
      </c>
      <c r="N62" s="455"/>
      <c r="O62" s="456"/>
      <c r="P62" s="456"/>
      <c r="S62" s="455"/>
      <c r="T62" s="456"/>
      <c r="U62" s="456"/>
      <c r="X62" s="455"/>
      <c r="Y62" s="456"/>
      <c r="Z62" s="456"/>
      <c r="AC62" s="455"/>
      <c r="AD62" s="456"/>
      <c r="AE62" s="456"/>
      <c r="AH62" s="455"/>
      <c r="AI62" s="456"/>
      <c r="AJ62" s="456"/>
      <c r="AM62" s="455"/>
      <c r="AN62" s="456"/>
      <c r="AO62" s="456"/>
      <c r="AR62" s="455"/>
      <c r="AS62" s="456"/>
      <c r="AT62" s="456"/>
      <c r="AW62" s="455"/>
      <c r="AX62" s="456"/>
      <c r="AY62" s="456"/>
    </row>
    <row r="63" spans="1:53" s="763" customFormat="1" x14ac:dyDescent="0.2">
      <c r="A63" s="756">
        <f t="shared" si="0"/>
        <v>61</v>
      </c>
      <c r="B63" s="777">
        <v>126</v>
      </c>
      <c r="C63" s="778" t="s">
        <v>1657</v>
      </c>
      <c r="D63" s="759">
        <v>0</v>
      </c>
      <c r="E63" s="760"/>
      <c r="F63" s="760"/>
      <c r="G63" s="761">
        <v>37987</v>
      </c>
      <c r="H63" s="762">
        <v>43281</v>
      </c>
      <c r="I63" s="759">
        <v>0.01</v>
      </c>
      <c r="J63" s="760"/>
      <c r="K63" s="760"/>
      <c r="L63" s="761">
        <v>43282</v>
      </c>
      <c r="M63" s="762"/>
      <c r="N63" s="759"/>
      <c r="O63" s="760"/>
      <c r="P63" s="760"/>
      <c r="Q63" s="761"/>
      <c r="R63" s="762"/>
      <c r="S63" s="759"/>
      <c r="T63" s="760"/>
      <c r="U63" s="760"/>
      <c r="V63" s="761"/>
      <c r="W63" s="762"/>
      <c r="X63" s="759"/>
      <c r="Y63" s="760"/>
      <c r="Z63" s="760"/>
      <c r="AA63" s="761"/>
      <c r="AB63" s="762"/>
      <c r="AC63" s="759"/>
      <c r="AD63" s="760"/>
      <c r="AE63" s="760"/>
      <c r="AF63" s="761"/>
      <c r="AG63" s="762"/>
      <c r="AH63" s="759"/>
      <c r="AI63" s="760"/>
      <c r="AJ63" s="760"/>
      <c r="AK63" s="761"/>
      <c r="AL63" s="762"/>
      <c r="AM63" s="759"/>
      <c r="AN63" s="760"/>
      <c r="AO63" s="760"/>
      <c r="AP63" s="761"/>
      <c r="AQ63" s="762"/>
      <c r="AR63" s="759"/>
      <c r="AS63" s="760"/>
      <c r="AT63" s="760"/>
      <c r="AU63" s="761"/>
      <c r="AV63" s="762"/>
      <c r="AW63" s="759"/>
      <c r="AX63" s="760"/>
      <c r="AY63" s="760"/>
      <c r="AZ63" s="761"/>
      <c r="BA63" s="762"/>
    </row>
    <row r="64" spans="1:53" x14ac:dyDescent="0.2">
      <c r="A64" s="447">
        <f t="shared" ref="A64:A69" si="1">+A63+1</f>
        <v>62</v>
      </c>
      <c r="B64" s="462">
        <v>190</v>
      </c>
      <c r="C64" s="458" t="s">
        <v>834</v>
      </c>
      <c r="D64" s="455">
        <v>1.4999999999999999E-2</v>
      </c>
      <c r="E64" s="456"/>
      <c r="F64" s="456"/>
      <c r="G64" s="452">
        <v>37987</v>
      </c>
      <c r="H64" s="453">
        <v>42004</v>
      </c>
      <c r="I64" s="455">
        <v>0.02</v>
      </c>
      <c r="J64" s="456"/>
      <c r="K64" s="456"/>
      <c r="L64" s="452">
        <v>42005</v>
      </c>
      <c r="N64" s="455"/>
      <c r="O64" s="456"/>
      <c r="P64" s="456"/>
      <c r="S64" s="455"/>
      <c r="T64" s="456"/>
      <c r="U64" s="456"/>
      <c r="X64" s="455"/>
      <c r="Y64" s="456"/>
      <c r="Z64" s="456"/>
      <c r="AC64" s="455"/>
      <c r="AD64" s="456"/>
      <c r="AE64" s="456"/>
      <c r="AH64" s="455"/>
      <c r="AI64" s="456"/>
      <c r="AJ64" s="456"/>
      <c r="AM64" s="455"/>
      <c r="AN64" s="456"/>
      <c r="AO64" s="456"/>
      <c r="AR64" s="455"/>
      <c r="AS64" s="456"/>
      <c r="AT64" s="456"/>
      <c r="AW64" s="455"/>
      <c r="AX64" s="456"/>
      <c r="AY64" s="456"/>
    </row>
    <row r="65" spans="1:53" x14ac:dyDescent="0.2">
      <c r="A65" s="447">
        <f t="shared" si="1"/>
        <v>63</v>
      </c>
      <c r="B65" s="462">
        <v>151</v>
      </c>
      <c r="C65" s="695" t="s">
        <v>1565</v>
      </c>
      <c r="D65" s="455">
        <v>0</v>
      </c>
      <c r="E65" s="456"/>
      <c r="F65" s="456"/>
      <c r="G65" s="452">
        <v>37987</v>
      </c>
      <c r="H65" s="453">
        <v>42674</v>
      </c>
      <c r="I65" s="459">
        <v>0.02</v>
      </c>
      <c r="J65" s="456"/>
      <c r="K65" s="456"/>
      <c r="L65" s="452">
        <v>42675</v>
      </c>
      <c r="N65" s="455"/>
      <c r="O65" s="456"/>
      <c r="P65" s="456"/>
      <c r="S65" s="455"/>
      <c r="T65" s="456"/>
      <c r="U65" s="456"/>
      <c r="X65" s="455"/>
      <c r="Y65" s="456"/>
      <c r="Z65" s="456"/>
      <c r="AC65" s="455"/>
      <c r="AD65" s="456"/>
      <c r="AE65" s="456"/>
      <c r="AH65" s="455"/>
      <c r="AI65" s="456"/>
      <c r="AJ65" s="456"/>
      <c r="AM65" s="455"/>
      <c r="AN65" s="456"/>
      <c r="AO65" s="456"/>
      <c r="AR65" s="455"/>
      <c r="AS65" s="456"/>
      <c r="AT65" s="456"/>
      <c r="AW65" s="455"/>
      <c r="AX65" s="456"/>
      <c r="AY65" s="456"/>
    </row>
    <row r="66" spans="1:53" x14ac:dyDescent="0.2">
      <c r="A66" s="447">
        <f t="shared" si="1"/>
        <v>64</v>
      </c>
      <c r="B66" s="462">
        <v>237</v>
      </c>
      <c r="C66" s="458" t="s">
        <v>1569</v>
      </c>
      <c r="D66" s="455">
        <v>0</v>
      </c>
      <c r="E66" s="456"/>
      <c r="F66" s="456"/>
      <c r="G66" s="452">
        <v>37987</v>
      </c>
      <c r="H66" s="453">
        <v>42551</v>
      </c>
      <c r="I66" s="459">
        <v>0.01</v>
      </c>
      <c r="J66" s="456"/>
      <c r="K66" s="456"/>
      <c r="L66" s="452">
        <v>42552</v>
      </c>
      <c r="N66" s="455"/>
      <c r="O66" s="456"/>
      <c r="P66" s="456"/>
      <c r="S66" s="455"/>
      <c r="T66" s="456"/>
      <c r="U66" s="456"/>
      <c r="X66" s="455"/>
      <c r="Y66" s="456"/>
      <c r="Z66" s="456"/>
      <c r="AC66" s="455"/>
      <c r="AD66" s="456"/>
      <c r="AE66" s="456"/>
      <c r="AH66" s="455"/>
      <c r="AI66" s="456"/>
      <c r="AJ66" s="456"/>
      <c r="AM66" s="455"/>
      <c r="AN66" s="456"/>
      <c r="AO66" s="456"/>
      <c r="AR66" s="455"/>
      <c r="AS66" s="456"/>
      <c r="AT66" s="456"/>
      <c r="AW66" s="455"/>
      <c r="AX66" s="456"/>
      <c r="AY66" s="456"/>
    </row>
    <row r="67" spans="1:53" x14ac:dyDescent="0.2">
      <c r="A67" s="447">
        <f t="shared" si="1"/>
        <v>65</v>
      </c>
      <c r="B67" s="462">
        <v>210</v>
      </c>
      <c r="C67" s="458" t="s">
        <v>954</v>
      </c>
      <c r="D67" s="455">
        <v>0.02</v>
      </c>
      <c r="E67" s="456"/>
      <c r="F67" s="456"/>
      <c r="G67" s="452">
        <v>37987</v>
      </c>
      <c r="H67" s="453">
        <v>42369</v>
      </c>
      <c r="I67" s="459">
        <v>2.2499999999999999E-2</v>
      </c>
      <c r="J67" s="456"/>
      <c r="K67" s="456"/>
      <c r="L67" s="452">
        <v>42370</v>
      </c>
      <c r="N67" s="455"/>
      <c r="O67" s="456"/>
      <c r="P67" s="456"/>
      <c r="S67" s="455"/>
      <c r="T67" s="456"/>
      <c r="U67" s="456"/>
      <c r="X67" s="455"/>
      <c r="Y67" s="456"/>
      <c r="Z67" s="456"/>
      <c r="AC67" s="455"/>
      <c r="AD67" s="456"/>
      <c r="AE67" s="456"/>
      <c r="AH67" s="455"/>
      <c r="AI67" s="456"/>
      <c r="AJ67" s="456"/>
      <c r="AM67" s="455"/>
      <c r="AN67" s="456"/>
      <c r="AO67" s="456"/>
      <c r="AR67" s="455"/>
      <c r="AS67" s="456"/>
      <c r="AT67" s="456"/>
      <c r="AW67" s="455"/>
      <c r="AX67" s="456"/>
      <c r="AY67" s="456"/>
    </row>
    <row r="68" spans="1:53" x14ac:dyDescent="0.2">
      <c r="A68" s="447">
        <f t="shared" si="1"/>
        <v>66</v>
      </c>
      <c r="B68" s="462">
        <v>159</v>
      </c>
      <c r="C68" s="457" t="s">
        <v>1066</v>
      </c>
      <c r="D68" s="455">
        <v>0</v>
      </c>
      <c r="E68" s="456"/>
      <c r="F68" s="456"/>
      <c r="G68" s="452">
        <v>37987</v>
      </c>
      <c r="H68" s="453">
        <v>40908</v>
      </c>
      <c r="I68" s="455">
        <v>0.01</v>
      </c>
      <c r="J68" s="456"/>
      <c r="K68" s="456"/>
      <c r="L68" s="452">
        <v>40909</v>
      </c>
      <c r="N68" s="455"/>
      <c r="O68" s="456"/>
      <c r="P68" s="456"/>
      <c r="S68" s="455"/>
      <c r="T68" s="456"/>
      <c r="U68" s="456"/>
      <c r="X68" s="455"/>
      <c r="Y68" s="456"/>
      <c r="Z68" s="456"/>
      <c r="AC68" s="455"/>
      <c r="AD68" s="456"/>
      <c r="AE68" s="456"/>
      <c r="AH68" s="455"/>
      <c r="AI68" s="456"/>
      <c r="AJ68" s="456"/>
      <c r="AM68" s="455"/>
      <c r="AN68" s="456"/>
      <c r="AO68" s="456"/>
      <c r="AR68" s="455"/>
      <c r="AS68" s="456"/>
      <c r="AT68" s="456"/>
      <c r="AW68" s="455"/>
      <c r="AX68" s="456"/>
      <c r="AY68" s="456"/>
    </row>
    <row r="69" spans="1:53" x14ac:dyDescent="0.2">
      <c r="A69" s="447">
        <f t="shared" si="1"/>
        <v>67</v>
      </c>
      <c r="B69" s="462">
        <v>293</v>
      </c>
      <c r="C69" s="458" t="s">
        <v>1483</v>
      </c>
      <c r="D69" s="455">
        <v>0</v>
      </c>
      <c r="E69" s="456"/>
      <c r="F69" s="456"/>
      <c r="G69" s="452">
        <v>37987</v>
      </c>
      <c r="H69" s="453">
        <v>41729</v>
      </c>
      <c r="I69" s="455">
        <v>2.5000000000000001E-2</v>
      </c>
      <c r="J69" s="456"/>
      <c r="K69" s="456"/>
      <c r="L69" s="452">
        <v>41730</v>
      </c>
      <c r="N69" s="455"/>
      <c r="O69" s="456"/>
      <c r="P69" s="456"/>
      <c r="S69" s="455"/>
      <c r="T69" s="456"/>
      <c r="U69" s="456"/>
      <c r="X69" s="455"/>
      <c r="Y69" s="456"/>
      <c r="Z69" s="456"/>
      <c r="AC69" s="455"/>
      <c r="AD69" s="456"/>
      <c r="AE69" s="456"/>
      <c r="AH69" s="455"/>
      <c r="AI69" s="456"/>
      <c r="AJ69" s="456"/>
      <c r="AM69" s="455"/>
      <c r="AN69" s="456"/>
      <c r="AO69" s="456"/>
      <c r="AR69" s="455"/>
      <c r="AS69" s="456"/>
      <c r="AT69" s="456"/>
      <c r="AW69" s="455"/>
      <c r="AX69" s="456"/>
      <c r="AY69" s="456"/>
    </row>
    <row r="70" spans="1:53" x14ac:dyDescent="0.2">
      <c r="A70" s="447">
        <f t="shared" si="0"/>
        <v>68</v>
      </c>
      <c r="B70" s="462">
        <v>224</v>
      </c>
      <c r="C70" s="458" t="s">
        <v>1175</v>
      </c>
      <c r="D70" s="455">
        <v>0</v>
      </c>
      <c r="E70" s="456"/>
      <c r="F70" s="456"/>
      <c r="G70" s="452">
        <v>37987</v>
      </c>
      <c r="H70" s="453">
        <v>39813</v>
      </c>
      <c r="I70" s="455">
        <v>0.01</v>
      </c>
      <c r="J70" s="456"/>
      <c r="K70" s="456"/>
      <c r="L70" s="452">
        <v>39814</v>
      </c>
      <c r="M70" s="453">
        <v>42004</v>
      </c>
      <c r="N70" s="455">
        <v>7.4999999999999997E-3</v>
      </c>
      <c r="O70" s="456"/>
      <c r="P70" s="456"/>
      <c r="Q70" s="452">
        <v>42005</v>
      </c>
      <c r="S70" s="455"/>
      <c r="T70" s="456"/>
      <c r="U70" s="456"/>
      <c r="X70" s="455"/>
      <c r="Y70" s="456"/>
      <c r="Z70" s="456"/>
      <c r="AC70" s="455"/>
      <c r="AD70" s="456"/>
      <c r="AE70" s="456"/>
      <c r="AH70" s="455"/>
      <c r="AI70" s="456"/>
      <c r="AJ70" s="456"/>
      <c r="AM70" s="455"/>
      <c r="AN70" s="456"/>
      <c r="AO70" s="456"/>
      <c r="AR70" s="455"/>
      <c r="AS70" s="456"/>
      <c r="AT70" s="456"/>
      <c r="AW70" s="455"/>
      <c r="AX70" s="456"/>
      <c r="AY70" s="456"/>
    </row>
    <row r="71" spans="1:53" x14ac:dyDescent="0.2">
      <c r="A71" s="447">
        <f t="shared" si="0"/>
        <v>69</v>
      </c>
      <c r="B71" s="462">
        <v>236</v>
      </c>
      <c r="C71" s="458" t="s">
        <v>1444</v>
      </c>
      <c r="D71" s="455">
        <v>0</v>
      </c>
      <c r="E71" s="456"/>
      <c r="F71" s="456"/>
      <c r="G71" s="452">
        <v>37987</v>
      </c>
      <c r="H71" s="453">
        <v>42004</v>
      </c>
      <c r="I71" s="455">
        <v>0.01</v>
      </c>
      <c r="J71" s="456"/>
      <c r="K71" s="456"/>
      <c r="L71" s="452">
        <v>42005</v>
      </c>
      <c r="N71" s="455"/>
      <c r="O71" s="456"/>
      <c r="P71" s="456"/>
      <c r="S71" s="455"/>
      <c r="T71" s="456"/>
      <c r="U71" s="456"/>
      <c r="X71" s="455"/>
      <c r="Y71" s="456"/>
      <c r="Z71" s="456"/>
      <c r="AC71" s="455"/>
      <c r="AD71" s="456"/>
      <c r="AE71" s="456"/>
      <c r="AH71" s="455"/>
      <c r="AI71" s="456"/>
      <c r="AJ71" s="456"/>
      <c r="AM71" s="455"/>
      <c r="AN71" s="456"/>
      <c r="AO71" s="456"/>
      <c r="AR71" s="455"/>
      <c r="AS71" s="456"/>
      <c r="AT71" s="456"/>
      <c r="AW71" s="455"/>
      <c r="AX71" s="456"/>
      <c r="AY71" s="456"/>
    </row>
    <row r="72" spans="1:53" x14ac:dyDescent="0.2">
      <c r="A72" s="447">
        <f t="shared" si="0"/>
        <v>70</v>
      </c>
      <c r="B72" s="462">
        <v>226</v>
      </c>
      <c r="C72" s="457" t="s">
        <v>1067</v>
      </c>
      <c r="D72" s="455">
        <v>0</v>
      </c>
      <c r="E72" s="456"/>
      <c r="F72" s="456"/>
      <c r="G72" s="452">
        <v>37987</v>
      </c>
      <c r="H72" s="453">
        <v>40908</v>
      </c>
      <c r="I72" s="455">
        <v>0.01</v>
      </c>
      <c r="J72" s="456"/>
      <c r="K72" s="456"/>
      <c r="L72" s="452">
        <v>40909</v>
      </c>
      <c r="N72" s="455"/>
      <c r="O72" s="456"/>
      <c r="P72" s="456"/>
      <c r="S72" s="455"/>
      <c r="T72" s="456"/>
      <c r="U72" s="456"/>
      <c r="X72" s="455"/>
      <c r="Y72" s="456"/>
      <c r="Z72" s="456"/>
      <c r="AC72" s="455"/>
      <c r="AD72" s="456"/>
      <c r="AE72" s="456"/>
      <c r="AH72" s="455"/>
      <c r="AI72" s="456"/>
      <c r="AJ72" s="456"/>
      <c r="AM72" s="455"/>
      <c r="AN72" s="456"/>
      <c r="AO72" s="456"/>
      <c r="AR72" s="455"/>
      <c r="AS72" s="456"/>
      <c r="AT72" s="456"/>
      <c r="AW72" s="455"/>
      <c r="AX72" s="456"/>
      <c r="AY72" s="456"/>
    </row>
    <row r="73" spans="1:53" x14ac:dyDescent="0.2">
      <c r="A73" s="447">
        <f t="shared" si="0"/>
        <v>71</v>
      </c>
      <c r="B73" s="462">
        <v>223</v>
      </c>
      <c r="C73" s="458" t="s">
        <v>835</v>
      </c>
      <c r="D73" s="455">
        <v>1.4999999999999999E-2</v>
      </c>
      <c r="E73" s="456"/>
      <c r="F73" s="456"/>
      <c r="G73" s="452">
        <v>37987</v>
      </c>
      <c r="H73" s="453">
        <v>38352</v>
      </c>
      <c r="I73" s="455">
        <v>5.0000000000000001E-3</v>
      </c>
      <c r="J73" s="456"/>
      <c r="K73" s="456"/>
      <c r="L73" s="452">
        <v>38353</v>
      </c>
      <c r="N73" s="455"/>
      <c r="O73" s="456"/>
      <c r="P73" s="456"/>
      <c r="S73" s="455"/>
      <c r="T73" s="456"/>
      <c r="U73" s="456"/>
      <c r="X73" s="455"/>
      <c r="Y73" s="456"/>
      <c r="Z73" s="456"/>
      <c r="AC73" s="455"/>
      <c r="AD73" s="456"/>
      <c r="AE73" s="456"/>
      <c r="AH73" s="455"/>
      <c r="AI73" s="456"/>
      <c r="AJ73" s="456"/>
      <c r="AM73" s="455"/>
      <c r="AN73" s="456"/>
      <c r="AO73" s="456"/>
      <c r="AR73" s="455"/>
      <c r="AS73" s="456"/>
      <c r="AT73" s="456"/>
      <c r="AW73" s="455"/>
      <c r="AX73" s="456"/>
      <c r="AY73" s="456"/>
    </row>
    <row r="74" spans="1:53" s="763" customFormat="1" x14ac:dyDescent="0.2">
      <c r="A74" s="756">
        <f t="shared" si="0"/>
        <v>72</v>
      </c>
      <c r="B74" s="777">
        <v>220</v>
      </c>
      <c r="C74" s="778" t="s">
        <v>1772</v>
      </c>
      <c r="D74" s="759">
        <v>0.02</v>
      </c>
      <c r="E74" s="760"/>
      <c r="F74" s="760"/>
      <c r="G74" s="761">
        <v>37987</v>
      </c>
      <c r="H74" s="762"/>
      <c r="I74" s="759"/>
      <c r="J74" s="760"/>
      <c r="K74" s="760"/>
      <c r="L74" s="761"/>
      <c r="M74" s="762"/>
      <c r="N74" s="759"/>
      <c r="O74" s="760"/>
      <c r="P74" s="760"/>
      <c r="Q74" s="761"/>
      <c r="R74" s="762"/>
      <c r="S74" s="759"/>
      <c r="T74" s="760"/>
      <c r="U74" s="760"/>
      <c r="V74" s="761"/>
      <c r="W74" s="762"/>
      <c r="X74" s="759"/>
      <c r="Y74" s="760"/>
      <c r="Z74" s="760"/>
      <c r="AA74" s="761"/>
      <c r="AB74" s="762"/>
      <c r="AC74" s="759"/>
      <c r="AD74" s="760"/>
      <c r="AE74" s="760"/>
      <c r="AF74" s="761"/>
      <c r="AG74" s="762"/>
      <c r="AH74" s="759"/>
      <c r="AI74" s="760"/>
      <c r="AJ74" s="760"/>
      <c r="AK74" s="761"/>
      <c r="AL74" s="762"/>
      <c r="AM74" s="759"/>
      <c r="AN74" s="760"/>
      <c r="AO74" s="760"/>
      <c r="AP74" s="761"/>
      <c r="AQ74" s="762"/>
      <c r="AR74" s="759"/>
      <c r="AS74" s="760"/>
      <c r="AT74" s="760"/>
      <c r="AU74" s="761"/>
      <c r="AV74" s="762"/>
      <c r="AW74" s="759"/>
      <c r="AX74" s="760"/>
      <c r="AY74" s="760"/>
      <c r="AZ74" s="761"/>
      <c r="BA74" s="762"/>
    </row>
    <row r="75" spans="1:53" s="763" customFormat="1" x14ac:dyDescent="0.2">
      <c r="A75" s="756">
        <f t="shared" si="0"/>
        <v>73</v>
      </c>
      <c r="B75" s="777">
        <v>135</v>
      </c>
      <c r="C75" s="778" t="s">
        <v>1658</v>
      </c>
      <c r="D75" s="759">
        <v>0.02</v>
      </c>
      <c r="E75" s="760"/>
      <c r="F75" s="760"/>
      <c r="G75" s="761">
        <v>37987</v>
      </c>
      <c r="H75" s="762"/>
      <c r="I75" s="759"/>
      <c r="J75" s="760"/>
      <c r="K75" s="760"/>
      <c r="L75" s="761"/>
      <c r="M75" s="762"/>
      <c r="N75" s="759"/>
      <c r="O75" s="760"/>
      <c r="P75" s="760"/>
      <c r="Q75" s="761"/>
      <c r="R75" s="762"/>
      <c r="S75" s="759"/>
      <c r="T75" s="760"/>
      <c r="U75" s="760"/>
      <c r="V75" s="761"/>
      <c r="W75" s="762"/>
      <c r="X75" s="759"/>
      <c r="Y75" s="760"/>
      <c r="Z75" s="760"/>
      <c r="AA75" s="761"/>
      <c r="AB75" s="762"/>
      <c r="AC75" s="759"/>
      <c r="AD75" s="760"/>
      <c r="AE75" s="760"/>
      <c r="AF75" s="761"/>
      <c r="AG75" s="762"/>
      <c r="AH75" s="759"/>
      <c r="AI75" s="760"/>
      <c r="AJ75" s="760"/>
      <c r="AK75" s="761"/>
      <c r="AL75" s="762"/>
      <c r="AM75" s="759"/>
      <c r="AN75" s="760"/>
      <c r="AO75" s="760"/>
      <c r="AP75" s="761"/>
      <c r="AQ75" s="762"/>
      <c r="AR75" s="759"/>
      <c r="AS75" s="760"/>
      <c r="AT75" s="760"/>
      <c r="AU75" s="761"/>
      <c r="AV75" s="762"/>
      <c r="AW75" s="759"/>
      <c r="AX75" s="760"/>
      <c r="AY75" s="760"/>
      <c r="AZ75" s="761"/>
      <c r="BA75" s="762"/>
    </row>
    <row r="76" spans="1:53" x14ac:dyDescent="0.2">
      <c r="A76" s="447">
        <f t="shared" si="0"/>
        <v>74</v>
      </c>
      <c r="B76" s="462">
        <v>250</v>
      </c>
      <c r="C76" s="457" t="s">
        <v>836</v>
      </c>
      <c r="D76" s="455">
        <v>0.02</v>
      </c>
      <c r="E76" s="456"/>
      <c r="F76" s="456"/>
      <c r="G76" s="452">
        <v>37987</v>
      </c>
      <c r="H76" s="453">
        <v>42735</v>
      </c>
      <c r="I76" s="459">
        <v>2.5000000000000001E-2</v>
      </c>
      <c r="J76" s="456"/>
      <c r="K76" s="456"/>
      <c r="L76" s="452">
        <v>42736</v>
      </c>
      <c r="N76" s="455"/>
      <c r="O76" s="456"/>
      <c r="P76" s="456"/>
      <c r="S76" s="455"/>
      <c r="T76" s="456"/>
      <c r="U76" s="456"/>
      <c r="X76" s="455"/>
      <c r="Y76" s="456"/>
      <c r="Z76" s="456"/>
      <c r="AC76" s="455"/>
      <c r="AD76" s="456"/>
      <c r="AE76" s="456"/>
      <c r="AH76" s="455"/>
      <c r="AI76" s="456"/>
      <c r="AJ76" s="456"/>
      <c r="AM76" s="455"/>
      <c r="AN76" s="456"/>
      <c r="AO76" s="456"/>
      <c r="AR76" s="455"/>
      <c r="AS76" s="456"/>
      <c r="AT76" s="456"/>
      <c r="AW76" s="455"/>
      <c r="AX76" s="456"/>
      <c r="AY76" s="456"/>
    </row>
    <row r="77" spans="1:53" x14ac:dyDescent="0.2">
      <c r="A77" s="447">
        <f t="shared" si="0"/>
        <v>75</v>
      </c>
      <c r="B77" s="462">
        <v>251</v>
      </c>
      <c r="C77" s="457" t="s">
        <v>1412</v>
      </c>
      <c r="D77" s="459">
        <v>0.01</v>
      </c>
      <c r="E77" s="460"/>
      <c r="F77" s="460"/>
      <c r="G77" s="452">
        <v>37987</v>
      </c>
      <c r="H77" s="453">
        <v>42369</v>
      </c>
      <c r="I77" s="455">
        <v>1.4999999999999999E-2</v>
      </c>
      <c r="J77" s="456"/>
      <c r="K77" s="456"/>
      <c r="L77" s="452">
        <v>42370</v>
      </c>
      <c r="N77" s="455"/>
      <c r="O77" s="456"/>
      <c r="P77" s="456"/>
      <c r="S77" s="455"/>
      <c r="T77" s="456"/>
      <c r="U77" s="456"/>
      <c r="X77" s="455"/>
      <c r="Y77" s="456"/>
      <c r="Z77" s="456"/>
      <c r="AC77" s="455"/>
      <c r="AD77" s="456"/>
      <c r="AE77" s="456"/>
      <c r="AH77" s="455"/>
      <c r="AI77" s="456"/>
      <c r="AJ77" s="456"/>
      <c r="AM77" s="455"/>
      <c r="AN77" s="456"/>
      <c r="AO77" s="456"/>
      <c r="AR77" s="455"/>
      <c r="AS77" s="456"/>
      <c r="AT77" s="456"/>
      <c r="AW77" s="455"/>
      <c r="AX77" s="456"/>
      <c r="AY77" s="456"/>
    </row>
    <row r="78" spans="1:53" x14ac:dyDescent="0.2">
      <c r="A78" s="447">
        <f>+A77+1</f>
        <v>76</v>
      </c>
      <c r="B78" s="462">
        <v>152</v>
      </c>
      <c r="C78" s="458" t="s">
        <v>1567</v>
      </c>
      <c r="D78" s="459">
        <v>0</v>
      </c>
      <c r="E78" s="460"/>
      <c r="F78" s="460"/>
      <c r="G78" s="452">
        <v>37987</v>
      </c>
      <c r="H78" s="453">
        <v>42643</v>
      </c>
      <c r="I78" s="459">
        <v>0.01</v>
      </c>
      <c r="J78" s="456"/>
      <c r="K78" s="456"/>
      <c r="L78" s="452">
        <v>42644</v>
      </c>
      <c r="N78" s="455"/>
      <c r="O78" s="456"/>
      <c r="P78" s="456"/>
      <c r="S78" s="455"/>
      <c r="T78" s="456"/>
      <c r="U78" s="456"/>
      <c r="X78" s="455"/>
      <c r="Y78" s="456"/>
      <c r="Z78" s="456"/>
      <c r="AC78" s="455"/>
      <c r="AD78" s="456"/>
      <c r="AE78" s="456"/>
      <c r="AH78" s="455"/>
      <c r="AI78" s="456"/>
      <c r="AJ78" s="456"/>
      <c r="AM78" s="455"/>
      <c r="AN78" s="456"/>
      <c r="AO78" s="456"/>
      <c r="AR78" s="455"/>
      <c r="AS78" s="456"/>
      <c r="AT78" s="456"/>
      <c r="AW78" s="455"/>
      <c r="AX78" s="456"/>
      <c r="AY78" s="456"/>
    </row>
    <row r="79" spans="1:53" x14ac:dyDescent="0.2">
      <c r="A79" s="447">
        <f>+A78+1</f>
        <v>77</v>
      </c>
      <c r="B79" s="462">
        <v>249</v>
      </c>
      <c r="C79" s="458" t="s">
        <v>1571</v>
      </c>
      <c r="D79" s="459">
        <v>0.01</v>
      </c>
      <c r="E79" s="460"/>
      <c r="F79" s="460"/>
      <c r="G79" s="452">
        <v>37987</v>
      </c>
      <c r="I79" s="455"/>
      <c r="J79" s="456"/>
      <c r="K79" s="456"/>
      <c r="N79" s="455"/>
      <c r="O79" s="456"/>
      <c r="P79" s="456"/>
      <c r="S79" s="455"/>
      <c r="T79" s="456"/>
      <c r="U79" s="456"/>
      <c r="X79" s="455"/>
      <c r="Y79" s="456"/>
      <c r="Z79" s="456"/>
      <c r="AC79" s="455"/>
      <c r="AD79" s="456"/>
      <c r="AE79" s="456"/>
      <c r="AH79" s="455"/>
      <c r="AI79" s="456"/>
      <c r="AJ79" s="456"/>
      <c r="AM79" s="455"/>
      <c r="AN79" s="456"/>
      <c r="AO79" s="456"/>
      <c r="AR79" s="455"/>
      <c r="AS79" s="456"/>
      <c r="AT79" s="456"/>
      <c r="AW79" s="455"/>
      <c r="AX79" s="456"/>
      <c r="AY79" s="456"/>
    </row>
    <row r="80" spans="1:53" x14ac:dyDescent="0.2">
      <c r="A80" s="447">
        <f>+A79+1</f>
        <v>78</v>
      </c>
      <c r="B80" s="462">
        <v>256</v>
      </c>
      <c r="C80" s="457" t="s">
        <v>1407</v>
      </c>
      <c r="D80" s="459">
        <v>0.02</v>
      </c>
      <c r="E80" s="460"/>
      <c r="F80" s="460"/>
      <c r="G80" s="452">
        <v>37987</v>
      </c>
      <c r="I80" s="455"/>
      <c r="J80" s="456"/>
      <c r="K80" s="456"/>
      <c r="N80" s="455"/>
      <c r="O80" s="456"/>
      <c r="P80" s="456"/>
      <c r="S80" s="455"/>
      <c r="T80" s="456"/>
      <c r="U80" s="456"/>
      <c r="X80" s="455"/>
      <c r="Y80" s="456"/>
      <c r="Z80" s="456"/>
      <c r="AC80" s="455"/>
      <c r="AD80" s="456"/>
      <c r="AE80" s="456"/>
      <c r="AH80" s="455"/>
      <c r="AI80" s="456"/>
      <c r="AJ80" s="456"/>
      <c r="AM80" s="455"/>
      <c r="AN80" s="456"/>
      <c r="AO80" s="456"/>
      <c r="AR80" s="455"/>
      <c r="AS80" s="456"/>
      <c r="AT80" s="456"/>
      <c r="AW80" s="455"/>
      <c r="AX80" s="456"/>
      <c r="AY80" s="456"/>
    </row>
    <row r="81" spans="1:51" x14ac:dyDescent="0.2">
      <c r="A81" s="447">
        <f t="shared" si="0"/>
        <v>79</v>
      </c>
      <c r="B81" s="462">
        <v>270</v>
      </c>
      <c r="C81" s="457" t="s">
        <v>837</v>
      </c>
      <c r="D81" s="459">
        <v>0.02</v>
      </c>
      <c r="E81" s="460"/>
      <c r="F81" s="460"/>
      <c r="G81" s="452">
        <v>37987</v>
      </c>
      <c r="I81" s="455"/>
      <c r="J81" s="456"/>
      <c r="K81" s="456"/>
      <c r="N81" s="455"/>
      <c r="O81" s="456"/>
      <c r="P81" s="456"/>
      <c r="S81" s="455"/>
      <c r="T81" s="456"/>
      <c r="U81" s="456"/>
      <c r="X81" s="455"/>
      <c r="Y81" s="456"/>
      <c r="Z81" s="456"/>
      <c r="AC81" s="455"/>
      <c r="AD81" s="456"/>
      <c r="AE81" s="456"/>
      <c r="AH81" s="455"/>
      <c r="AI81" s="456"/>
      <c r="AJ81" s="456"/>
      <c r="AM81" s="455"/>
      <c r="AN81" s="456"/>
      <c r="AO81" s="456"/>
      <c r="AR81" s="455"/>
      <c r="AS81" s="456"/>
      <c r="AT81" s="456"/>
      <c r="AW81" s="455"/>
      <c r="AX81" s="456"/>
      <c r="AY81" s="456"/>
    </row>
    <row r="82" spans="1:51" x14ac:dyDescent="0.2">
      <c r="A82" s="447">
        <f t="shared" si="0"/>
        <v>80</v>
      </c>
      <c r="B82" s="462">
        <v>268</v>
      </c>
      <c r="C82" s="457" t="s">
        <v>838</v>
      </c>
      <c r="D82" s="459">
        <v>0.01</v>
      </c>
      <c r="E82" s="460"/>
      <c r="F82" s="460"/>
      <c r="G82" s="452">
        <v>37987</v>
      </c>
      <c r="I82" s="455"/>
      <c r="J82" s="456"/>
      <c r="K82" s="456"/>
      <c r="N82" s="455"/>
      <c r="O82" s="456"/>
      <c r="P82" s="456"/>
      <c r="S82" s="455"/>
      <c r="T82" s="456"/>
      <c r="U82" s="456"/>
      <c r="X82" s="455"/>
      <c r="Y82" s="456"/>
      <c r="Z82" s="456"/>
      <c r="AC82" s="455"/>
      <c r="AD82" s="456"/>
      <c r="AE82" s="456"/>
      <c r="AH82" s="455"/>
      <c r="AI82" s="456"/>
      <c r="AJ82" s="456"/>
      <c r="AM82" s="455"/>
      <c r="AN82" s="456"/>
      <c r="AO82" s="456"/>
      <c r="AR82" s="455"/>
      <c r="AS82" s="456"/>
      <c r="AT82" s="456"/>
      <c r="AW82" s="455"/>
      <c r="AX82" s="456"/>
      <c r="AY82" s="456"/>
    </row>
    <row r="83" spans="1:51" x14ac:dyDescent="0.2">
      <c r="A83" s="447">
        <f t="shared" si="0"/>
        <v>81</v>
      </c>
      <c r="B83" s="462">
        <v>273</v>
      </c>
      <c r="C83" s="458" t="s">
        <v>1493</v>
      </c>
      <c r="D83" s="459">
        <v>0.02</v>
      </c>
      <c r="E83" s="460"/>
      <c r="F83" s="460"/>
      <c r="G83" s="452">
        <v>37987</v>
      </c>
      <c r="I83" s="455"/>
      <c r="J83" s="456"/>
      <c r="K83" s="456"/>
      <c r="N83" s="455"/>
      <c r="O83" s="456"/>
      <c r="P83" s="456"/>
      <c r="S83" s="455"/>
      <c r="T83" s="456"/>
      <c r="U83" s="456"/>
      <c r="X83" s="455"/>
      <c r="Y83" s="456"/>
      <c r="Z83" s="456"/>
      <c r="AC83" s="455"/>
      <c r="AD83" s="456"/>
      <c r="AE83" s="456"/>
      <c r="AH83" s="455"/>
      <c r="AI83" s="456"/>
      <c r="AJ83" s="456"/>
      <c r="AM83" s="455"/>
      <c r="AN83" s="456"/>
      <c r="AO83" s="456"/>
      <c r="AR83" s="455"/>
      <c r="AS83" s="456"/>
      <c r="AT83" s="456"/>
      <c r="AW83" s="455"/>
      <c r="AX83" s="456"/>
      <c r="AY83" s="456"/>
    </row>
    <row r="84" spans="1:51" x14ac:dyDescent="0.2">
      <c r="A84" s="447">
        <f t="shared" si="0"/>
        <v>82</v>
      </c>
      <c r="B84" s="462">
        <v>246</v>
      </c>
      <c r="C84" s="458" t="s">
        <v>1437</v>
      </c>
      <c r="D84" s="459">
        <v>0</v>
      </c>
      <c r="E84" s="460"/>
      <c r="F84" s="460"/>
      <c r="G84" s="452">
        <v>37987</v>
      </c>
      <c r="H84" s="453">
        <v>38352</v>
      </c>
      <c r="I84" s="455">
        <v>1.4999999999999999E-2</v>
      </c>
      <c r="J84" s="456"/>
      <c r="K84" s="456"/>
      <c r="L84" s="452">
        <v>38353</v>
      </c>
      <c r="N84" s="455"/>
      <c r="O84" s="456"/>
      <c r="P84" s="456"/>
      <c r="S84" s="455"/>
      <c r="T84" s="456"/>
      <c r="U84" s="456"/>
      <c r="X84" s="455"/>
      <c r="Y84" s="456"/>
      <c r="Z84" s="456"/>
      <c r="AC84" s="455"/>
      <c r="AD84" s="456"/>
      <c r="AE84" s="456"/>
      <c r="AH84" s="455"/>
      <c r="AI84" s="456"/>
      <c r="AJ84" s="456"/>
      <c r="AM84" s="455"/>
      <c r="AN84" s="456"/>
      <c r="AO84" s="456"/>
      <c r="AR84" s="455"/>
      <c r="AS84" s="456"/>
      <c r="AT84" s="456"/>
      <c r="AW84" s="455"/>
      <c r="AX84" s="456"/>
      <c r="AY84" s="456"/>
    </row>
    <row r="85" spans="1:51" x14ac:dyDescent="0.2">
      <c r="A85" s="447">
        <f t="shared" si="0"/>
        <v>83</v>
      </c>
      <c r="B85" s="462">
        <v>292</v>
      </c>
      <c r="C85" s="458" t="s">
        <v>1472</v>
      </c>
      <c r="D85" s="459">
        <v>0</v>
      </c>
      <c r="E85" s="460"/>
      <c r="F85" s="460"/>
      <c r="G85" s="452">
        <v>37987</v>
      </c>
      <c r="H85" s="453">
        <v>40908</v>
      </c>
      <c r="I85" s="459">
        <v>1.7500000000000002E-2</v>
      </c>
      <c r="J85" s="456"/>
      <c r="K85" s="456"/>
      <c r="L85" s="452">
        <v>40909</v>
      </c>
      <c r="M85" s="453">
        <v>42551</v>
      </c>
      <c r="N85" s="455">
        <v>2.2499999999999999E-2</v>
      </c>
      <c r="O85" s="456"/>
      <c r="P85" s="456"/>
      <c r="Q85" s="452">
        <v>42552</v>
      </c>
      <c r="S85" s="455"/>
      <c r="T85" s="456"/>
      <c r="U85" s="456"/>
      <c r="X85" s="455"/>
      <c r="Y85" s="456"/>
      <c r="Z85" s="456"/>
      <c r="AC85" s="455"/>
      <c r="AD85" s="456"/>
      <c r="AE85" s="456"/>
      <c r="AH85" s="455"/>
      <c r="AI85" s="456"/>
      <c r="AJ85" s="456"/>
      <c r="AM85" s="455"/>
      <c r="AN85" s="456"/>
      <c r="AO85" s="456"/>
      <c r="AR85" s="455"/>
      <c r="AS85" s="456"/>
      <c r="AT85" s="456"/>
      <c r="AW85" s="455"/>
      <c r="AX85" s="456"/>
      <c r="AY85" s="456"/>
    </row>
    <row r="86" spans="1:51" x14ac:dyDescent="0.2">
      <c r="A86" s="447">
        <f t="shared" si="0"/>
        <v>84</v>
      </c>
      <c r="B86" s="462">
        <v>248</v>
      </c>
      <c r="C86" s="458" t="s">
        <v>1570</v>
      </c>
      <c r="D86" s="459">
        <v>0.01</v>
      </c>
      <c r="E86" s="460"/>
      <c r="F86" s="460"/>
      <c r="G86" s="452">
        <v>37987</v>
      </c>
      <c r="H86" s="453">
        <v>42004</v>
      </c>
      <c r="I86" s="455">
        <v>1.7500000000000002E-2</v>
      </c>
      <c r="J86" s="456"/>
      <c r="K86" s="456"/>
      <c r="L86" s="452">
        <v>42005</v>
      </c>
      <c r="N86" s="455"/>
      <c r="O86" s="456"/>
      <c r="P86" s="456"/>
      <c r="S86" s="455"/>
      <c r="T86" s="456"/>
      <c r="U86" s="456"/>
      <c r="X86" s="455"/>
      <c r="Y86" s="456"/>
      <c r="Z86" s="456"/>
      <c r="AC86" s="455"/>
      <c r="AD86" s="456"/>
      <c r="AE86" s="456"/>
      <c r="AH86" s="455"/>
      <c r="AI86" s="456"/>
      <c r="AJ86" s="456"/>
      <c r="AM86" s="455"/>
      <c r="AN86" s="456"/>
      <c r="AO86" s="456"/>
      <c r="AR86" s="455"/>
      <c r="AS86" s="456"/>
      <c r="AT86" s="456"/>
      <c r="AW86" s="455"/>
      <c r="AX86" s="456"/>
      <c r="AY86" s="456"/>
    </row>
    <row r="87" spans="1:51" x14ac:dyDescent="0.2">
      <c r="A87" s="447">
        <f t="shared" si="0"/>
        <v>85</v>
      </c>
      <c r="B87" s="462">
        <v>271</v>
      </c>
      <c r="C87" s="457" t="s">
        <v>1309</v>
      </c>
      <c r="D87" s="459">
        <v>0</v>
      </c>
      <c r="E87" s="460"/>
      <c r="F87" s="460"/>
      <c r="G87" s="452">
        <v>37987</v>
      </c>
      <c r="H87" s="453">
        <v>39813</v>
      </c>
      <c r="I87" s="455">
        <v>5.0000000000000001E-3</v>
      </c>
      <c r="J87" s="456"/>
      <c r="K87" s="456"/>
      <c r="L87" s="452">
        <v>39814</v>
      </c>
      <c r="N87" s="455"/>
      <c r="O87" s="456"/>
      <c r="P87" s="456"/>
      <c r="S87" s="455"/>
      <c r="T87" s="456"/>
      <c r="U87" s="456"/>
      <c r="X87" s="455"/>
      <c r="Y87" s="456"/>
      <c r="Z87" s="456"/>
      <c r="AC87" s="455"/>
      <c r="AD87" s="456"/>
      <c r="AE87" s="456"/>
      <c r="AH87" s="455"/>
      <c r="AI87" s="456"/>
      <c r="AJ87" s="456"/>
      <c r="AM87" s="455"/>
      <c r="AN87" s="456"/>
      <c r="AO87" s="456"/>
      <c r="AR87" s="455"/>
      <c r="AS87" s="456"/>
      <c r="AT87" s="456"/>
      <c r="AW87" s="455"/>
      <c r="AX87" s="456"/>
      <c r="AY87" s="456"/>
    </row>
    <row r="88" spans="1:51" x14ac:dyDescent="0.2">
      <c r="A88" s="461">
        <f t="shared" si="0"/>
        <v>86</v>
      </c>
      <c r="B88" s="462">
        <v>272</v>
      </c>
      <c r="C88" s="458" t="s">
        <v>1606</v>
      </c>
      <c r="D88" s="459">
        <v>0.01</v>
      </c>
      <c r="E88" s="460"/>
      <c r="F88" s="460"/>
      <c r="G88" s="452">
        <v>37987</v>
      </c>
      <c r="H88" s="453">
        <v>38717</v>
      </c>
      <c r="I88" s="455">
        <v>1.7500000000000002E-2</v>
      </c>
      <c r="J88" s="456"/>
      <c r="K88" s="456"/>
      <c r="L88" s="452">
        <v>38718</v>
      </c>
      <c r="N88" s="455"/>
      <c r="O88" s="456"/>
      <c r="P88" s="456"/>
      <c r="S88" s="455"/>
      <c r="T88" s="456"/>
      <c r="U88" s="456"/>
      <c r="X88" s="455"/>
      <c r="Y88" s="456"/>
      <c r="Z88" s="456"/>
      <c r="AC88" s="455"/>
      <c r="AD88" s="456"/>
      <c r="AE88" s="456"/>
      <c r="AH88" s="455"/>
      <c r="AI88" s="456"/>
      <c r="AJ88" s="456"/>
      <c r="AM88" s="455"/>
      <c r="AN88" s="456"/>
      <c r="AO88" s="456"/>
      <c r="AR88" s="455"/>
      <c r="AS88" s="456"/>
      <c r="AT88" s="456"/>
      <c r="AW88" s="455"/>
      <c r="AX88" s="456"/>
      <c r="AY88" s="456"/>
    </row>
    <row r="89" spans="1:51" x14ac:dyDescent="0.2">
      <c r="A89" s="447">
        <f t="shared" si="0"/>
        <v>87</v>
      </c>
      <c r="B89" s="462">
        <v>269</v>
      </c>
      <c r="C89" s="458" t="s">
        <v>1572</v>
      </c>
      <c r="D89" s="459">
        <v>0.02</v>
      </c>
      <c r="E89" s="460"/>
      <c r="F89" s="460"/>
      <c r="G89" s="452">
        <v>37987</v>
      </c>
      <c r="I89" s="455"/>
      <c r="J89" s="456"/>
      <c r="K89" s="456"/>
      <c r="N89" s="455"/>
      <c r="O89" s="456"/>
      <c r="P89" s="456"/>
      <c r="S89" s="455"/>
      <c r="T89" s="456"/>
      <c r="U89" s="456"/>
      <c r="X89" s="455"/>
      <c r="Y89" s="456"/>
      <c r="Z89" s="456"/>
      <c r="AC89" s="455"/>
      <c r="AD89" s="456"/>
      <c r="AE89" s="456"/>
      <c r="AH89" s="455"/>
      <c r="AI89" s="456"/>
      <c r="AJ89" s="456"/>
      <c r="AM89" s="455"/>
      <c r="AN89" s="456"/>
      <c r="AO89" s="456"/>
      <c r="AR89" s="455"/>
      <c r="AS89" s="456"/>
      <c r="AT89" s="456"/>
      <c r="AW89" s="455"/>
      <c r="AX89" s="456"/>
      <c r="AY89" s="456"/>
    </row>
    <row r="90" spans="1:51" x14ac:dyDescent="0.2">
      <c r="A90" s="447">
        <f t="shared" si="0"/>
        <v>88</v>
      </c>
      <c r="B90" s="462">
        <v>277</v>
      </c>
      <c r="C90" s="458" t="s">
        <v>839</v>
      </c>
      <c r="D90" s="459">
        <v>1.7500000000000002E-2</v>
      </c>
      <c r="E90" s="460"/>
      <c r="F90" s="460"/>
      <c r="G90" s="452">
        <v>37987</v>
      </c>
      <c r="H90" s="453">
        <v>42551</v>
      </c>
      <c r="I90" s="459">
        <v>2.2499999999999999E-2</v>
      </c>
      <c r="J90" s="456"/>
      <c r="K90" s="456"/>
      <c r="L90" s="452">
        <v>42552</v>
      </c>
      <c r="N90" s="455"/>
      <c r="O90" s="456"/>
      <c r="P90" s="456"/>
      <c r="S90" s="455"/>
      <c r="T90" s="456"/>
      <c r="U90" s="456"/>
      <c r="X90" s="455"/>
      <c r="Y90" s="456"/>
      <c r="Z90" s="456"/>
      <c r="AC90" s="455"/>
      <c r="AD90" s="456"/>
      <c r="AE90" s="456"/>
      <c r="AH90" s="455"/>
      <c r="AI90" s="456"/>
      <c r="AJ90" s="456"/>
      <c r="AM90" s="455"/>
      <c r="AN90" s="456"/>
      <c r="AO90" s="456"/>
      <c r="AR90" s="455"/>
      <c r="AS90" s="456"/>
      <c r="AT90" s="456"/>
      <c r="AW90" s="455"/>
      <c r="AX90" s="456"/>
      <c r="AY90" s="456"/>
    </row>
    <row r="91" spans="1:51" x14ac:dyDescent="0.2">
      <c r="A91" s="447">
        <f t="shared" si="0"/>
        <v>89</v>
      </c>
      <c r="B91" s="462">
        <v>282</v>
      </c>
      <c r="C91" s="458" t="s">
        <v>1484</v>
      </c>
      <c r="D91" s="455">
        <v>1.7500000000000002E-2</v>
      </c>
      <c r="E91" s="456"/>
      <c r="F91" s="456"/>
      <c r="G91" s="452">
        <v>37987</v>
      </c>
      <c r="H91" s="453">
        <v>42551</v>
      </c>
      <c r="I91" s="459">
        <v>2.2499999999999999E-2</v>
      </c>
      <c r="J91" s="456"/>
      <c r="K91" s="456"/>
      <c r="L91" s="452">
        <v>42552</v>
      </c>
      <c r="N91" s="455"/>
      <c r="O91" s="456"/>
      <c r="P91" s="456"/>
      <c r="S91" s="455"/>
      <c r="T91" s="456"/>
      <c r="U91" s="456"/>
      <c r="X91" s="455"/>
      <c r="Y91" s="456"/>
      <c r="Z91" s="456"/>
      <c r="AC91" s="455"/>
      <c r="AD91" s="456"/>
      <c r="AE91" s="456"/>
      <c r="AH91" s="455"/>
      <c r="AI91" s="456"/>
      <c r="AJ91" s="456"/>
      <c r="AM91" s="455"/>
      <c r="AN91" s="456"/>
      <c r="AO91" s="456"/>
      <c r="AR91" s="455"/>
      <c r="AS91" s="456"/>
      <c r="AT91" s="456"/>
      <c r="AW91" s="455"/>
      <c r="AX91" s="456"/>
      <c r="AY91" s="456"/>
    </row>
    <row r="92" spans="1:51" x14ac:dyDescent="0.2">
      <c r="A92" s="447">
        <f t="shared" si="0"/>
        <v>90</v>
      </c>
      <c r="B92" s="462">
        <v>235</v>
      </c>
      <c r="C92" s="458" t="s">
        <v>1445</v>
      </c>
      <c r="D92" s="455">
        <v>0</v>
      </c>
      <c r="E92" s="456"/>
      <c r="F92" s="456"/>
      <c r="G92" s="452">
        <v>37987</v>
      </c>
      <c r="H92" s="453">
        <v>42004</v>
      </c>
      <c r="I92" s="455">
        <v>0.01</v>
      </c>
      <c r="J92" s="456"/>
      <c r="K92" s="456"/>
      <c r="L92" s="452">
        <v>42005</v>
      </c>
      <c r="N92" s="455"/>
      <c r="O92" s="456"/>
      <c r="P92" s="456"/>
      <c r="S92" s="455"/>
      <c r="T92" s="456"/>
      <c r="U92" s="456"/>
      <c r="X92" s="455"/>
      <c r="Y92" s="456"/>
      <c r="Z92" s="456"/>
      <c r="AC92" s="455"/>
      <c r="AD92" s="456"/>
      <c r="AE92" s="456"/>
      <c r="AH92" s="455"/>
      <c r="AI92" s="456"/>
      <c r="AJ92" s="456"/>
      <c r="AM92" s="455"/>
      <c r="AN92" s="456"/>
      <c r="AO92" s="456"/>
      <c r="AR92" s="455"/>
      <c r="AS92" s="456"/>
      <c r="AT92" s="456"/>
      <c r="AW92" s="455"/>
      <c r="AX92" s="456"/>
      <c r="AY92" s="456"/>
    </row>
    <row r="93" spans="1:51" x14ac:dyDescent="0.2">
      <c r="A93" s="447">
        <f t="shared" si="0"/>
        <v>91</v>
      </c>
      <c r="B93" s="462">
        <v>287</v>
      </c>
      <c r="C93" s="458" t="s">
        <v>73</v>
      </c>
      <c r="D93" s="455">
        <v>0.01</v>
      </c>
      <c r="E93" s="456"/>
      <c r="F93" s="456"/>
      <c r="G93" s="452">
        <v>37987</v>
      </c>
      <c r="H93" s="453">
        <v>38352</v>
      </c>
      <c r="I93" s="455">
        <v>1.4999999999999999E-2</v>
      </c>
      <c r="J93" s="456"/>
      <c r="K93" s="456"/>
      <c r="L93" s="452">
        <v>38353</v>
      </c>
      <c r="N93" s="455"/>
      <c r="O93" s="456"/>
      <c r="P93" s="456"/>
      <c r="S93" s="455"/>
      <c r="T93" s="456"/>
      <c r="U93" s="456"/>
      <c r="X93" s="455"/>
      <c r="Y93" s="456"/>
      <c r="Z93" s="456"/>
      <c r="AC93" s="455"/>
      <c r="AD93" s="456"/>
      <c r="AE93" s="456"/>
      <c r="AH93" s="455"/>
      <c r="AI93" s="456"/>
      <c r="AJ93" s="456"/>
      <c r="AM93" s="455"/>
      <c r="AN93" s="456"/>
      <c r="AO93" s="456"/>
      <c r="AR93" s="455"/>
      <c r="AS93" s="456"/>
      <c r="AT93" s="456"/>
      <c r="AW93" s="455"/>
      <c r="AX93" s="456"/>
      <c r="AY93" s="456"/>
    </row>
    <row r="94" spans="1:51" x14ac:dyDescent="0.2">
      <c r="A94" s="447">
        <f t="shared" si="0"/>
        <v>92</v>
      </c>
      <c r="B94" s="462">
        <v>291</v>
      </c>
      <c r="C94" s="457" t="s">
        <v>840</v>
      </c>
      <c r="D94" s="455">
        <v>0.02</v>
      </c>
      <c r="E94" s="456"/>
      <c r="F94" s="456"/>
      <c r="G94" s="452">
        <v>37987</v>
      </c>
      <c r="I94" s="455"/>
      <c r="J94" s="456"/>
      <c r="K94" s="456"/>
      <c r="N94" s="455"/>
      <c r="O94" s="456"/>
      <c r="P94" s="456"/>
      <c r="S94" s="455"/>
      <c r="T94" s="456"/>
      <c r="U94" s="456"/>
      <c r="X94" s="455"/>
      <c r="Y94" s="456"/>
      <c r="Z94" s="456"/>
      <c r="AC94" s="455"/>
      <c r="AD94" s="456"/>
      <c r="AE94" s="456"/>
      <c r="AH94" s="455"/>
      <c r="AI94" s="456"/>
      <c r="AJ94" s="456"/>
      <c r="AM94" s="455"/>
      <c r="AN94" s="456"/>
      <c r="AO94" s="456"/>
      <c r="AR94" s="455"/>
      <c r="AS94" s="456"/>
      <c r="AT94" s="456"/>
      <c r="AW94" s="455"/>
      <c r="AX94" s="456"/>
      <c r="AY94" s="456"/>
    </row>
    <row r="95" spans="1:51" x14ac:dyDescent="0.2">
      <c r="A95" s="447">
        <f t="shared" si="0"/>
        <v>93</v>
      </c>
      <c r="B95" s="462">
        <v>300</v>
      </c>
      <c r="C95" s="457" t="s">
        <v>841</v>
      </c>
      <c r="D95" s="459">
        <v>1.4999999999999999E-2</v>
      </c>
      <c r="E95" s="460"/>
      <c r="F95" s="460"/>
      <c r="G95" s="452">
        <v>37987</v>
      </c>
      <c r="H95" s="453">
        <v>38426</v>
      </c>
      <c r="I95" s="455">
        <v>0.02</v>
      </c>
      <c r="J95" s="456"/>
      <c r="K95" s="456"/>
      <c r="L95" s="452">
        <v>38427</v>
      </c>
      <c r="N95" s="455"/>
      <c r="O95" s="456"/>
      <c r="P95" s="456"/>
      <c r="S95" s="455"/>
      <c r="T95" s="456"/>
      <c r="U95" s="456"/>
      <c r="X95" s="455"/>
      <c r="Y95" s="456"/>
      <c r="Z95" s="456"/>
      <c r="AC95" s="455"/>
      <c r="AD95" s="456"/>
      <c r="AE95" s="456"/>
      <c r="AH95" s="455"/>
      <c r="AI95" s="456"/>
      <c r="AJ95" s="456"/>
      <c r="AM95" s="455"/>
      <c r="AN95" s="456"/>
      <c r="AO95" s="456"/>
      <c r="AR95" s="455"/>
      <c r="AS95" s="456"/>
      <c r="AT95" s="456"/>
      <c r="AW95" s="455"/>
      <c r="AX95" s="456"/>
      <c r="AY95" s="456"/>
    </row>
    <row r="96" spans="1:51" x14ac:dyDescent="0.2">
      <c r="A96" s="461">
        <f t="shared" si="0"/>
        <v>94</v>
      </c>
      <c r="B96" s="462">
        <v>295</v>
      </c>
      <c r="C96" s="457" t="s">
        <v>1607</v>
      </c>
      <c r="D96" s="459">
        <v>0</v>
      </c>
      <c r="E96" s="460"/>
      <c r="F96" s="460"/>
      <c r="G96" s="452">
        <v>37987</v>
      </c>
      <c r="H96" s="453">
        <v>38352</v>
      </c>
      <c r="I96" s="455">
        <v>1.4999999999999999E-2</v>
      </c>
      <c r="J96" s="456"/>
      <c r="K96" s="456"/>
      <c r="L96" s="452">
        <v>38353</v>
      </c>
      <c r="N96" s="455"/>
      <c r="O96" s="456"/>
      <c r="P96" s="456"/>
      <c r="S96" s="455"/>
      <c r="T96" s="456"/>
      <c r="U96" s="456"/>
      <c r="X96" s="455"/>
      <c r="Y96" s="456"/>
      <c r="Z96" s="456"/>
      <c r="AC96" s="455"/>
      <c r="AD96" s="456"/>
      <c r="AE96" s="456"/>
      <c r="AH96" s="455"/>
      <c r="AI96" s="456"/>
      <c r="AJ96" s="456"/>
      <c r="AM96" s="455"/>
      <c r="AN96" s="456"/>
      <c r="AO96" s="456"/>
      <c r="AR96" s="455"/>
      <c r="AS96" s="456"/>
      <c r="AT96" s="456"/>
      <c r="AW96" s="455"/>
      <c r="AX96" s="456"/>
      <c r="AY96" s="456"/>
    </row>
    <row r="97" spans="1:53" x14ac:dyDescent="0.2">
      <c r="A97" s="461">
        <f t="shared" si="0"/>
        <v>95</v>
      </c>
      <c r="B97" s="462">
        <v>296</v>
      </c>
      <c r="C97" s="457" t="s">
        <v>1608</v>
      </c>
      <c r="D97" s="459">
        <v>0</v>
      </c>
      <c r="E97" s="460"/>
      <c r="F97" s="460"/>
      <c r="G97" s="452">
        <v>37987</v>
      </c>
      <c r="H97" s="453">
        <v>38352</v>
      </c>
      <c r="I97" s="455">
        <v>0.01</v>
      </c>
      <c r="J97" s="456"/>
      <c r="K97" s="456"/>
      <c r="L97" s="452">
        <v>38353</v>
      </c>
      <c r="N97" s="455"/>
      <c r="O97" s="456"/>
      <c r="P97" s="456"/>
      <c r="S97" s="455"/>
      <c r="T97" s="456"/>
      <c r="U97" s="456"/>
      <c r="X97" s="455"/>
      <c r="Y97" s="456"/>
      <c r="Z97" s="456"/>
      <c r="AC97" s="455"/>
      <c r="AD97" s="456"/>
      <c r="AE97" s="456"/>
      <c r="AH97" s="455"/>
      <c r="AI97" s="456"/>
      <c r="AJ97" s="456"/>
      <c r="AM97" s="455"/>
      <c r="AN97" s="456"/>
      <c r="AO97" s="456"/>
      <c r="AR97" s="455"/>
      <c r="AS97" s="456"/>
      <c r="AT97" s="456"/>
      <c r="AW97" s="455"/>
      <c r="AX97" s="456"/>
      <c r="AY97" s="456"/>
    </row>
    <row r="98" spans="1:53" x14ac:dyDescent="0.2">
      <c r="A98" s="447">
        <f t="shared" si="0"/>
        <v>96</v>
      </c>
      <c r="B98" s="462">
        <v>304</v>
      </c>
      <c r="C98" s="457" t="s">
        <v>842</v>
      </c>
      <c r="D98" s="455">
        <v>0.01</v>
      </c>
      <c r="E98" s="456"/>
      <c r="F98" s="456"/>
      <c r="G98" s="452">
        <v>37987</v>
      </c>
      <c r="I98" s="455"/>
      <c r="J98" s="456"/>
      <c r="K98" s="456"/>
      <c r="N98" s="455"/>
      <c r="O98" s="456"/>
      <c r="P98" s="456"/>
      <c r="S98" s="455"/>
      <c r="T98" s="456"/>
      <c r="U98" s="456"/>
      <c r="X98" s="455"/>
      <c r="Y98" s="456"/>
      <c r="Z98" s="456"/>
      <c r="AC98" s="455"/>
      <c r="AD98" s="456"/>
      <c r="AE98" s="456"/>
      <c r="AH98" s="455"/>
      <c r="AI98" s="456"/>
      <c r="AJ98" s="456"/>
      <c r="AM98" s="455"/>
      <c r="AN98" s="456"/>
      <c r="AO98" s="456"/>
      <c r="AR98" s="455"/>
      <c r="AS98" s="456"/>
      <c r="AT98" s="456"/>
      <c r="AW98" s="455"/>
      <c r="AX98" s="456"/>
      <c r="AY98" s="456"/>
    </row>
    <row r="99" spans="1:53" x14ac:dyDescent="0.2">
      <c r="A99" s="447">
        <f t="shared" si="0"/>
        <v>97</v>
      </c>
      <c r="B99" s="462">
        <v>305</v>
      </c>
      <c r="C99" s="458" t="s">
        <v>1573</v>
      </c>
      <c r="D99" s="455">
        <v>0.02</v>
      </c>
      <c r="E99" s="456"/>
      <c r="F99" s="456"/>
      <c r="G99" s="452">
        <v>37987</v>
      </c>
      <c r="I99" s="455"/>
      <c r="J99" s="456"/>
      <c r="K99" s="456"/>
      <c r="N99" s="455"/>
      <c r="O99" s="456"/>
      <c r="P99" s="456"/>
      <c r="S99" s="455"/>
      <c r="T99" s="456"/>
      <c r="U99" s="456"/>
      <c r="X99" s="455"/>
      <c r="Y99" s="456"/>
      <c r="Z99" s="456"/>
      <c r="AC99" s="455"/>
      <c r="AD99" s="456"/>
      <c r="AE99" s="456"/>
      <c r="AH99" s="455"/>
      <c r="AI99" s="456"/>
      <c r="AJ99" s="456"/>
      <c r="AM99" s="455"/>
      <c r="AN99" s="456"/>
      <c r="AO99" s="456"/>
      <c r="AR99" s="455"/>
      <c r="AS99" s="456"/>
      <c r="AT99" s="456"/>
      <c r="AW99" s="455"/>
      <c r="AX99" s="456"/>
      <c r="AY99" s="456"/>
    </row>
    <row r="100" spans="1:53" x14ac:dyDescent="0.2">
      <c r="A100" s="447">
        <f t="shared" si="0"/>
        <v>98</v>
      </c>
      <c r="B100" s="462">
        <v>308</v>
      </c>
      <c r="C100" s="457" t="s">
        <v>1282</v>
      </c>
      <c r="D100" s="455">
        <v>0.01</v>
      </c>
      <c r="E100" s="456"/>
      <c r="F100" s="456"/>
      <c r="G100" s="452">
        <v>37987</v>
      </c>
      <c r="I100" s="455"/>
      <c r="J100" s="456"/>
      <c r="K100" s="456"/>
      <c r="N100" s="455"/>
      <c r="O100" s="456"/>
      <c r="P100" s="456"/>
      <c r="S100" s="455"/>
      <c r="T100" s="456"/>
      <c r="U100" s="456"/>
      <c r="X100" s="455"/>
      <c r="Y100" s="456"/>
      <c r="Z100" s="456"/>
      <c r="AC100" s="455"/>
      <c r="AD100" s="456"/>
      <c r="AE100" s="456"/>
      <c r="AH100" s="455"/>
      <c r="AI100" s="456"/>
      <c r="AJ100" s="456"/>
      <c r="AM100" s="455"/>
      <c r="AN100" s="456"/>
      <c r="AO100" s="456"/>
      <c r="AR100" s="455"/>
      <c r="AS100" s="456"/>
      <c r="AT100" s="456"/>
      <c r="AW100" s="455"/>
      <c r="AX100" s="456"/>
      <c r="AY100" s="456"/>
    </row>
    <row r="101" spans="1:53" x14ac:dyDescent="0.2">
      <c r="A101" s="447">
        <f t="shared" si="0"/>
        <v>99</v>
      </c>
      <c r="B101" s="462">
        <v>310</v>
      </c>
      <c r="C101" s="457" t="s">
        <v>843</v>
      </c>
      <c r="D101" s="455">
        <v>1.4999999999999999E-2</v>
      </c>
      <c r="E101" s="456"/>
      <c r="F101" s="456"/>
      <c r="G101" s="452">
        <v>37987</v>
      </c>
      <c r="I101" s="455"/>
      <c r="J101" s="456"/>
      <c r="K101" s="456"/>
      <c r="N101" s="455"/>
      <c r="O101" s="456"/>
      <c r="P101" s="456"/>
      <c r="S101" s="455"/>
      <c r="T101" s="456"/>
      <c r="U101" s="456"/>
      <c r="X101" s="455"/>
      <c r="Y101" s="456"/>
      <c r="Z101" s="456"/>
      <c r="AC101" s="455"/>
      <c r="AD101" s="456"/>
      <c r="AE101" s="456"/>
      <c r="AH101" s="455"/>
      <c r="AI101" s="456"/>
      <c r="AJ101" s="456"/>
      <c r="AM101" s="455"/>
      <c r="AN101" s="456"/>
      <c r="AO101" s="456"/>
      <c r="AR101" s="455"/>
      <c r="AS101" s="456"/>
      <c r="AT101" s="456"/>
      <c r="AW101" s="455"/>
      <c r="AX101" s="456"/>
      <c r="AY101" s="456"/>
    </row>
    <row r="102" spans="1:53" x14ac:dyDescent="0.2">
      <c r="A102" s="447">
        <f t="shared" si="0"/>
        <v>100</v>
      </c>
      <c r="B102" s="462">
        <v>316</v>
      </c>
      <c r="C102" s="457" t="s">
        <v>1178</v>
      </c>
      <c r="D102" s="455">
        <v>1.4999999999999999E-2</v>
      </c>
      <c r="E102" s="456"/>
      <c r="F102" s="456"/>
      <c r="G102" s="452">
        <v>37987</v>
      </c>
      <c r="I102" s="455"/>
      <c r="J102" s="456"/>
      <c r="K102" s="456"/>
      <c r="N102" s="455"/>
      <c r="O102" s="456"/>
      <c r="P102" s="456"/>
      <c r="S102" s="455"/>
      <c r="T102" s="456"/>
      <c r="U102" s="456"/>
      <c r="X102" s="455"/>
      <c r="Y102" s="456"/>
      <c r="Z102" s="456"/>
      <c r="AC102" s="455"/>
      <c r="AD102" s="456"/>
      <c r="AE102" s="456"/>
      <c r="AH102" s="455"/>
      <c r="AI102" s="456"/>
      <c r="AJ102" s="456"/>
      <c r="AM102" s="455"/>
      <c r="AN102" s="456"/>
      <c r="AO102" s="456"/>
      <c r="AR102" s="455"/>
      <c r="AS102" s="456"/>
      <c r="AT102" s="456"/>
      <c r="AW102" s="455"/>
      <c r="AX102" s="456"/>
      <c r="AY102" s="456"/>
    </row>
    <row r="103" spans="1:53" x14ac:dyDescent="0.2">
      <c r="A103" s="447">
        <f t="shared" si="0"/>
        <v>101</v>
      </c>
      <c r="B103" s="462">
        <v>319</v>
      </c>
      <c r="C103" s="457" t="s">
        <v>844</v>
      </c>
      <c r="D103" s="455">
        <v>0.01</v>
      </c>
      <c r="E103" s="456"/>
      <c r="F103" s="456"/>
      <c r="G103" s="452">
        <v>37987</v>
      </c>
      <c r="I103" s="455"/>
      <c r="J103" s="456"/>
      <c r="K103" s="456"/>
      <c r="N103" s="455"/>
      <c r="O103" s="456"/>
      <c r="P103" s="456"/>
      <c r="S103" s="455"/>
      <c r="T103" s="456"/>
      <c r="U103" s="456"/>
      <c r="X103" s="455"/>
      <c r="Y103" s="456"/>
      <c r="Z103" s="456"/>
      <c r="AC103" s="455"/>
      <c r="AD103" s="456"/>
      <c r="AE103" s="456"/>
      <c r="AH103" s="455"/>
      <c r="AI103" s="456"/>
      <c r="AJ103" s="456"/>
      <c r="AM103" s="455"/>
      <c r="AN103" s="456"/>
      <c r="AO103" s="456"/>
      <c r="AR103" s="455"/>
      <c r="AS103" s="456"/>
      <c r="AT103" s="456"/>
      <c r="AW103" s="455"/>
      <c r="AX103" s="456"/>
      <c r="AY103" s="456"/>
    </row>
    <row r="104" spans="1:53" x14ac:dyDescent="0.2">
      <c r="A104" s="447">
        <f t="shared" si="0"/>
        <v>102</v>
      </c>
      <c r="B104" s="462">
        <v>317</v>
      </c>
      <c r="C104" s="457" t="s">
        <v>845</v>
      </c>
      <c r="D104" s="459">
        <v>1.4999999999999999E-2</v>
      </c>
      <c r="E104" s="460"/>
      <c r="F104" s="460"/>
      <c r="G104" s="452">
        <v>37987</v>
      </c>
      <c r="H104" s="453">
        <v>38898</v>
      </c>
      <c r="I104" s="455">
        <v>0.02</v>
      </c>
      <c r="J104" s="456"/>
      <c r="K104" s="456"/>
      <c r="L104" s="452">
        <v>38899</v>
      </c>
      <c r="N104" s="455"/>
      <c r="O104" s="456"/>
      <c r="P104" s="456"/>
      <c r="S104" s="455"/>
      <c r="T104" s="456"/>
      <c r="U104" s="456"/>
      <c r="X104" s="455"/>
      <c r="Y104" s="456"/>
      <c r="Z104" s="456"/>
      <c r="AC104" s="455"/>
      <c r="AD104" s="456"/>
      <c r="AE104" s="456"/>
      <c r="AH104" s="455"/>
      <c r="AI104" s="456"/>
      <c r="AJ104" s="456"/>
      <c r="AM104" s="455"/>
      <c r="AN104" s="456"/>
      <c r="AO104" s="456"/>
      <c r="AR104" s="455"/>
      <c r="AS104" s="456"/>
      <c r="AT104" s="456"/>
      <c r="AW104" s="455"/>
      <c r="AX104" s="456"/>
      <c r="AY104" s="456"/>
    </row>
    <row r="105" spans="1:53" x14ac:dyDescent="0.2">
      <c r="A105" s="447">
        <f t="shared" si="0"/>
        <v>103</v>
      </c>
      <c r="B105" s="462">
        <v>320</v>
      </c>
      <c r="C105" s="457" t="s">
        <v>846</v>
      </c>
      <c r="D105" s="455">
        <v>0.02</v>
      </c>
      <c r="E105" s="456"/>
      <c r="F105" s="456"/>
      <c r="G105" s="452">
        <v>37987</v>
      </c>
      <c r="I105" s="455"/>
      <c r="J105" s="456"/>
      <c r="K105" s="456"/>
      <c r="N105" s="455"/>
      <c r="O105" s="456"/>
      <c r="P105" s="456"/>
      <c r="S105" s="455"/>
      <c r="T105" s="456"/>
      <c r="U105" s="456"/>
      <c r="X105" s="455"/>
      <c r="Y105" s="456"/>
      <c r="Z105" s="456"/>
      <c r="AC105" s="455"/>
      <c r="AD105" s="456"/>
      <c r="AE105" s="456"/>
      <c r="AH105" s="455"/>
      <c r="AI105" s="456"/>
      <c r="AJ105" s="456"/>
      <c r="AM105" s="455"/>
      <c r="AN105" s="456"/>
      <c r="AO105" s="456"/>
      <c r="AR105" s="455"/>
      <c r="AS105" s="456"/>
      <c r="AT105" s="456"/>
      <c r="AW105" s="455"/>
      <c r="AX105" s="456"/>
      <c r="AY105" s="456"/>
    </row>
    <row r="106" spans="1:53" x14ac:dyDescent="0.2">
      <c r="A106" s="447">
        <f t="shared" si="0"/>
        <v>104</v>
      </c>
      <c r="B106" s="462">
        <v>679</v>
      </c>
      <c r="C106" s="458" t="s">
        <v>1596</v>
      </c>
      <c r="D106" s="455">
        <v>0</v>
      </c>
      <c r="E106" s="456"/>
      <c r="F106" s="456"/>
      <c r="G106" s="452">
        <v>37987</v>
      </c>
      <c r="H106" s="453">
        <v>42735</v>
      </c>
      <c r="I106" s="455">
        <v>0.01</v>
      </c>
      <c r="J106" s="456"/>
      <c r="K106" s="456"/>
      <c r="L106" s="452">
        <v>42736</v>
      </c>
      <c r="N106" s="455"/>
      <c r="O106" s="456"/>
      <c r="P106" s="456"/>
      <c r="S106" s="455"/>
      <c r="T106" s="456"/>
      <c r="U106" s="456"/>
      <c r="X106" s="455"/>
      <c r="Y106" s="456"/>
      <c r="Z106" s="456"/>
      <c r="AC106" s="455"/>
      <c r="AD106" s="456"/>
      <c r="AE106" s="456"/>
      <c r="AH106" s="455"/>
      <c r="AI106" s="456"/>
      <c r="AJ106" s="456"/>
      <c r="AM106" s="455"/>
      <c r="AN106" s="456"/>
      <c r="AO106" s="456"/>
      <c r="AR106" s="455"/>
      <c r="AS106" s="456"/>
      <c r="AT106" s="456"/>
      <c r="AW106" s="455"/>
      <c r="AX106" s="456"/>
      <c r="AY106" s="456"/>
    </row>
    <row r="107" spans="1:53" x14ac:dyDescent="0.2">
      <c r="A107" s="447">
        <f t="shared" si="0"/>
        <v>105</v>
      </c>
      <c r="B107" s="462">
        <v>346</v>
      </c>
      <c r="C107" s="457" t="s">
        <v>847</v>
      </c>
      <c r="D107" s="455">
        <v>0.02</v>
      </c>
      <c r="E107" s="456"/>
      <c r="F107" s="456"/>
      <c r="G107" s="452">
        <v>37987</v>
      </c>
      <c r="I107" s="455"/>
      <c r="J107" s="456"/>
      <c r="K107" s="456"/>
      <c r="N107" s="455"/>
      <c r="O107" s="456"/>
      <c r="P107" s="456"/>
      <c r="S107" s="455"/>
      <c r="T107" s="456"/>
      <c r="U107" s="456"/>
      <c r="X107" s="455"/>
      <c r="Y107" s="456"/>
      <c r="Z107" s="456"/>
      <c r="AC107" s="455"/>
      <c r="AD107" s="456"/>
      <c r="AE107" s="456"/>
      <c r="AH107" s="455"/>
      <c r="AI107" s="456"/>
      <c r="AJ107" s="456"/>
      <c r="AM107" s="455"/>
      <c r="AN107" s="456"/>
      <c r="AO107" s="456"/>
      <c r="AR107" s="455"/>
      <c r="AS107" s="456"/>
      <c r="AT107" s="456"/>
      <c r="AW107" s="455"/>
      <c r="AX107" s="456"/>
      <c r="AY107" s="456"/>
    </row>
    <row r="108" spans="1:53" x14ac:dyDescent="0.2">
      <c r="A108" s="447">
        <f t="shared" si="0"/>
        <v>106</v>
      </c>
      <c r="B108" s="462">
        <v>347</v>
      </c>
      <c r="C108" s="457" t="s">
        <v>848</v>
      </c>
      <c r="D108" s="455">
        <v>0.02</v>
      </c>
      <c r="E108" s="456"/>
      <c r="F108" s="456"/>
      <c r="G108" s="452">
        <v>37987</v>
      </c>
      <c r="I108" s="455"/>
      <c r="J108" s="456"/>
      <c r="K108" s="456"/>
      <c r="N108" s="455"/>
      <c r="O108" s="456"/>
      <c r="P108" s="456"/>
      <c r="S108" s="455"/>
      <c r="T108" s="456"/>
      <c r="U108" s="456"/>
      <c r="X108" s="455"/>
      <c r="Y108" s="456"/>
      <c r="Z108" s="456"/>
      <c r="AC108" s="455"/>
      <c r="AD108" s="456"/>
      <c r="AE108" s="456"/>
      <c r="AH108" s="455"/>
      <c r="AI108" s="456"/>
      <c r="AJ108" s="456"/>
      <c r="AM108" s="455"/>
      <c r="AN108" s="456"/>
      <c r="AO108" s="456"/>
      <c r="AR108" s="455"/>
      <c r="AS108" s="456"/>
      <c r="AT108" s="456"/>
      <c r="AW108" s="455"/>
      <c r="AX108" s="456"/>
      <c r="AY108" s="456"/>
    </row>
    <row r="109" spans="1:53" s="763" customFormat="1" x14ac:dyDescent="0.2">
      <c r="A109" s="756">
        <f t="shared" si="0"/>
        <v>107</v>
      </c>
      <c r="B109" s="777">
        <v>332</v>
      </c>
      <c r="C109" s="778" t="s">
        <v>1659</v>
      </c>
      <c r="D109" s="759">
        <v>1.7000000000000001E-2</v>
      </c>
      <c r="E109" s="760"/>
      <c r="F109" s="760"/>
      <c r="G109" s="761">
        <v>37987</v>
      </c>
      <c r="H109" s="762"/>
      <c r="I109" s="759"/>
      <c r="J109" s="760"/>
      <c r="K109" s="760"/>
      <c r="L109" s="761"/>
      <c r="M109" s="762"/>
      <c r="N109" s="759"/>
      <c r="O109" s="760"/>
      <c r="P109" s="760"/>
      <c r="Q109" s="761"/>
      <c r="R109" s="762"/>
      <c r="S109" s="759"/>
      <c r="T109" s="760"/>
      <c r="U109" s="760"/>
      <c r="V109" s="761"/>
      <c r="W109" s="762"/>
      <c r="X109" s="759"/>
      <c r="Y109" s="760"/>
      <c r="Z109" s="760"/>
      <c r="AA109" s="761"/>
      <c r="AB109" s="762"/>
      <c r="AC109" s="759"/>
      <c r="AD109" s="760"/>
      <c r="AE109" s="760"/>
      <c r="AF109" s="761"/>
      <c r="AG109" s="762"/>
      <c r="AH109" s="759"/>
      <c r="AI109" s="760"/>
      <c r="AJ109" s="760"/>
      <c r="AK109" s="761"/>
      <c r="AL109" s="762"/>
      <c r="AM109" s="759"/>
      <c r="AN109" s="760"/>
      <c r="AO109" s="760"/>
      <c r="AP109" s="761"/>
      <c r="AQ109" s="762"/>
      <c r="AR109" s="759"/>
      <c r="AS109" s="760"/>
      <c r="AT109" s="760"/>
      <c r="AU109" s="761"/>
      <c r="AV109" s="762"/>
      <c r="AW109" s="759"/>
      <c r="AX109" s="760"/>
      <c r="AY109" s="760"/>
      <c r="AZ109" s="761"/>
      <c r="BA109" s="762"/>
    </row>
    <row r="110" spans="1:53" x14ac:dyDescent="0.2">
      <c r="A110" s="447">
        <f t="shared" si="0"/>
        <v>108</v>
      </c>
      <c r="B110" s="462">
        <v>350</v>
      </c>
      <c r="C110" s="457" t="s">
        <v>708</v>
      </c>
      <c r="D110" s="455">
        <v>1.4999999999999999E-2</v>
      </c>
      <c r="E110" s="456"/>
      <c r="F110" s="456"/>
      <c r="G110" s="452">
        <v>37987</v>
      </c>
      <c r="I110" s="455"/>
      <c r="J110" s="456"/>
      <c r="K110" s="456"/>
      <c r="N110" s="455"/>
      <c r="O110" s="456"/>
      <c r="P110" s="456"/>
      <c r="S110" s="455"/>
      <c r="T110" s="456"/>
      <c r="U110" s="456"/>
      <c r="X110" s="455"/>
      <c r="Y110" s="456"/>
      <c r="Z110" s="456"/>
      <c r="AC110" s="455"/>
      <c r="AD110" s="456"/>
      <c r="AE110" s="456"/>
      <c r="AH110" s="455"/>
      <c r="AI110" s="456"/>
      <c r="AJ110" s="456"/>
      <c r="AM110" s="455"/>
      <c r="AN110" s="456"/>
      <c r="AO110" s="456"/>
      <c r="AR110" s="455"/>
      <c r="AS110" s="456"/>
      <c r="AT110" s="456"/>
      <c r="AW110" s="455"/>
      <c r="AX110" s="456"/>
      <c r="AY110" s="456"/>
    </row>
    <row r="111" spans="1:53" x14ac:dyDescent="0.2">
      <c r="A111" s="447">
        <f t="shared" si="0"/>
        <v>109</v>
      </c>
      <c r="B111" s="462">
        <v>357</v>
      </c>
      <c r="C111" s="457" t="s">
        <v>849</v>
      </c>
      <c r="D111" s="455">
        <v>0.02</v>
      </c>
      <c r="E111" s="456"/>
      <c r="F111" s="456"/>
      <c r="G111" s="452">
        <v>37987</v>
      </c>
      <c r="H111" s="453">
        <v>38533</v>
      </c>
      <c r="I111" s="455">
        <v>2.5000000000000001E-2</v>
      </c>
      <c r="J111" s="456"/>
      <c r="K111" s="456"/>
      <c r="L111" s="452">
        <v>38534</v>
      </c>
      <c r="M111" s="453">
        <v>39813</v>
      </c>
      <c r="N111" s="455">
        <v>2.2499999999999999E-2</v>
      </c>
      <c r="O111" s="456"/>
      <c r="P111" s="456"/>
      <c r="Q111" s="452">
        <v>39814</v>
      </c>
      <c r="R111" s="453">
        <v>40359</v>
      </c>
      <c r="S111" s="455">
        <v>2.5000000000000001E-2</v>
      </c>
      <c r="T111" s="456"/>
      <c r="U111" s="456"/>
      <c r="V111" s="452">
        <v>40360</v>
      </c>
      <c r="X111" s="455"/>
      <c r="Y111" s="456"/>
      <c r="Z111" s="456"/>
      <c r="AC111" s="455"/>
      <c r="AD111" s="456"/>
      <c r="AE111" s="456"/>
      <c r="AH111" s="455"/>
      <c r="AI111" s="456"/>
      <c r="AJ111" s="456"/>
      <c r="AM111" s="455"/>
      <c r="AN111" s="456"/>
      <c r="AO111" s="456"/>
      <c r="AR111" s="455"/>
      <c r="AS111" s="456"/>
      <c r="AT111" s="456"/>
      <c r="AW111" s="455"/>
      <c r="AX111" s="456"/>
      <c r="AY111" s="456"/>
    </row>
    <row r="112" spans="1:53" x14ac:dyDescent="0.2">
      <c r="A112" s="447">
        <f t="shared" si="0"/>
        <v>110</v>
      </c>
      <c r="B112" s="462">
        <v>294</v>
      </c>
      <c r="C112" s="458" t="s">
        <v>507</v>
      </c>
      <c r="D112" s="455">
        <v>0</v>
      </c>
      <c r="E112" s="456"/>
      <c r="F112" s="456"/>
      <c r="G112" s="452">
        <v>37987</v>
      </c>
      <c r="H112" s="453">
        <v>41639</v>
      </c>
      <c r="I112" s="455">
        <v>0.01</v>
      </c>
      <c r="J112" s="456"/>
      <c r="K112" s="456"/>
      <c r="L112" s="452">
        <v>41640</v>
      </c>
      <c r="N112" s="455"/>
      <c r="O112" s="456"/>
      <c r="P112" s="456"/>
      <c r="S112" s="455"/>
      <c r="T112" s="456"/>
      <c r="U112" s="456"/>
      <c r="X112" s="455"/>
      <c r="Y112" s="456"/>
      <c r="Z112" s="456"/>
      <c r="AC112" s="455"/>
      <c r="AD112" s="456"/>
      <c r="AE112" s="456"/>
      <c r="AH112" s="455"/>
      <c r="AI112" s="456"/>
      <c r="AJ112" s="456"/>
      <c r="AM112" s="455"/>
      <c r="AN112" s="456"/>
      <c r="AO112" s="456"/>
      <c r="AR112" s="455"/>
      <c r="AS112" s="456"/>
      <c r="AT112" s="456"/>
      <c r="AW112" s="455"/>
      <c r="AX112" s="456"/>
      <c r="AY112" s="456"/>
    </row>
    <row r="113" spans="1:53" s="763" customFormat="1" x14ac:dyDescent="0.2">
      <c r="A113" s="756">
        <f t="shared" si="0"/>
        <v>111</v>
      </c>
      <c r="B113" s="777">
        <v>334</v>
      </c>
      <c r="C113" s="778" t="s">
        <v>1773</v>
      </c>
      <c r="D113" s="759">
        <v>1.6250000000000001E-2</v>
      </c>
      <c r="E113" s="760"/>
      <c r="F113" s="760"/>
      <c r="G113" s="761">
        <v>37987</v>
      </c>
      <c r="H113" s="762"/>
      <c r="I113" s="759"/>
      <c r="J113" s="760"/>
      <c r="K113" s="760"/>
      <c r="L113" s="761"/>
      <c r="M113" s="762"/>
      <c r="N113" s="759"/>
      <c r="O113" s="760"/>
      <c r="P113" s="760"/>
      <c r="Q113" s="761"/>
      <c r="R113" s="762"/>
      <c r="S113" s="759"/>
      <c r="T113" s="760"/>
      <c r="U113" s="760"/>
      <c r="V113" s="761"/>
      <c r="W113" s="762"/>
      <c r="X113" s="759"/>
      <c r="Y113" s="760"/>
      <c r="Z113" s="760"/>
      <c r="AA113" s="761"/>
      <c r="AB113" s="762"/>
      <c r="AC113" s="759"/>
      <c r="AD113" s="760"/>
      <c r="AE113" s="760"/>
      <c r="AF113" s="761"/>
      <c r="AG113" s="762"/>
      <c r="AH113" s="759"/>
      <c r="AI113" s="760"/>
      <c r="AJ113" s="760"/>
      <c r="AK113" s="761"/>
      <c r="AL113" s="762"/>
      <c r="AM113" s="759"/>
      <c r="AN113" s="760"/>
      <c r="AO113" s="760"/>
      <c r="AP113" s="761"/>
      <c r="AQ113" s="762"/>
      <c r="AR113" s="759"/>
      <c r="AS113" s="760"/>
      <c r="AT113" s="760"/>
      <c r="AU113" s="761"/>
      <c r="AV113" s="762"/>
      <c r="AW113" s="759"/>
      <c r="AX113" s="760"/>
      <c r="AY113" s="760"/>
      <c r="AZ113" s="761"/>
      <c r="BA113" s="762"/>
    </row>
    <row r="114" spans="1:53" x14ac:dyDescent="0.2">
      <c r="A114" s="447">
        <f t="shared" si="0"/>
        <v>112</v>
      </c>
      <c r="B114" s="462">
        <v>337</v>
      </c>
      <c r="C114" s="457" t="s">
        <v>955</v>
      </c>
      <c r="D114" s="455">
        <v>0</v>
      </c>
      <c r="E114" s="456"/>
      <c r="F114" s="456"/>
      <c r="G114" s="452">
        <v>37987</v>
      </c>
      <c r="H114" s="453">
        <v>38717</v>
      </c>
      <c r="I114" s="455">
        <v>1.4999999999999999E-2</v>
      </c>
      <c r="J114" s="456"/>
      <c r="K114" s="456"/>
      <c r="L114" s="452">
        <v>38718</v>
      </c>
      <c r="N114" s="455"/>
      <c r="O114" s="456"/>
      <c r="P114" s="456"/>
      <c r="S114" s="455"/>
      <c r="T114" s="456"/>
      <c r="U114" s="456"/>
      <c r="X114" s="455"/>
      <c r="Y114" s="456"/>
      <c r="Z114" s="456"/>
      <c r="AC114" s="455"/>
      <c r="AD114" s="456"/>
      <c r="AE114" s="456"/>
      <c r="AH114" s="455"/>
      <c r="AI114" s="456"/>
      <c r="AJ114" s="456"/>
      <c r="AM114" s="455"/>
      <c r="AN114" s="456"/>
      <c r="AO114" s="456"/>
      <c r="AR114" s="455"/>
      <c r="AS114" s="456"/>
      <c r="AT114" s="456"/>
      <c r="AW114" s="455"/>
      <c r="AX114" s="456"/>
      <c r="AY114" s="456"/>
    </row>
    <row r="115" spans="1:53" x14ac:dyDescent="0.2">
      <c r="A115" s="447">
        <f t="shared" si="0"/>
        <v>113</v>
      </c>
      <c r="B115" s="462">
        <v>358</v>
      </c>
      <c r="C115" s="457" t="s">
        <v>850</v>
      </c>
      <c r="D115" s="455">
        <v>0.02</v>
      </c>
      <c r="E115" s="456"/>
      <c r="F115" s="456"/>
      <c r="G115" s="452">
        <v>37987</v>
      </c>
      <c r="I115" s="455"/>
      <c r="J115" s="456"/>
      <c r="K115" s="456"/>
      <c r="N115" s="455"/>
      <c r="O115" s="456"/>
      <c r="P115" s="456"/>
      <c r="S115" s="455"/>
      <c r="T115" s="456"/>
      <c r="U115" s="456"/>
      <c r="X115" s="455"/>
      <c r="Y115" s="456"/>
      <c r="Z115" s="456"/>
      <c r="AC115" s="455"/>
      <c r="AD115" s="456"/>
      <c r="AE115" s="456"/>
      <c r="AH115" s="455"/>
      <c r="AI115" s="456"/>
      <c r="AJ115" s="456"/>
      <c r="AM115" s="455"/>
      <c r="AN115" s="456"/>
      <c r="AO115" s="456"/>
      <c r="AR115" s="455"/>
      <c r="AS115" s="456"/>
      <c r="AT115" s="456"/>
      <c r="AW115" s="455"/>
      <c r="AX115" s="456"/>
      <c r="AY115" s="456"/>
    </row>
    <row r="116" spans="1:53" s="763" customFormat="1" x14ac:dyDescent="0.2">
      <c r="A116" s="756">
        <f t="shared" si="0"/>
        <v>114</v>
      </c>
      <c r="B116" s="777">
        <v>361</v>
      </c>
      <c r="C116" s="778" t="s">
        <v>1660</v>
      </c>
      <c r="D116" s="759">
        <v>0.02</v>
      </c>
      <c r="E116" s="760"/>
      <c r="F116" s="760"/>
      <c r="G116" s="761">
        <v>37987</v>
      </c>
      <c r="H116" s="762"/>
      <c r="I116" s="759"/>
      <c r="J116" s="760"/>
      <c r="K116" s="760"/>
      <c r="L116" s="761"/>
      <c r="M116" s="762"/>
      <c r="N116" s="759"/>
      <c r="O116" s="760"/>
      <c r="P116" s="760"/>
      <c r="Q116" s="761"/>
      <c r="R116" s="762"/>
      <c r="S116" s="759"/>
      <c r="T116" s="760"/>
      <c r="U116" s="760"/>
      <c r="V116" s="761"/>
      <c r="W116" s="762"/>
      <c r="X116" s="759"/>
      <c r="Y116" s="760"/>
      <c r="Z116" s="760"/>
      <c r="AA116" s="761"/>
      <c r="AB116" s="762"/>
      <c r="AC116" s="759"/>
      <c r="AD116" s="760"/>
      <c r="AE116" s="760"/>
      <c r="AF116" s="761"/>
      <c r="AG116" s="762"/>
      <c r="AH116" s="759"/>
      <c r="AI116" s="760"/>
      <c r="AJ116" s="760"/>
      <c r="AK116" s="761"/>
      <c r="AL116" s="762"/>
      <c r="AM116" s="759"/>
      <c r="AN116" s="760"/>
      <c r="AO116" s="760"/>
      <c r="AP116" s="761"/>
      <c r="AQ116" s="762"/>
      <c r="AR116" s="759"/>
      <c r="AS116" s="760"/>
      <c r="AT116" s="760"/>
      <c r="AU116" s="761"/>
      <c r="AV116" s="762"/>
      <c r="AW116" s="759"/>
      <c r="AX116" s="760"/>
      <c r="AY116" s="760"/>
      <c r="AZ116" s="761"/>
      <c r="BA116" s="762"/>
    </row>
    <row r="117" spans="1:53" x14ac:dyDescent="0.2">
      <c r="A117" s="447">
        <f t="shared" si="0"/>
        <v>115</v>
      </c>
      <c r="B117" s="462">
        <v>238</v>
      </c>
      <c r="C117" s="458" t="s">
        <v>1597</v>
      </c>
      <c r="D117" s="455">
        <v>0</v>
      </c>
      <c r="E117" s="456"/>
      <c r="F117" s="456"/>
      <c r="G117" s="452">
        <v>37987</v>
      </c>
      <c r="H117" s="453">
        <v>42735</v>
      </c>
      <c r="I117" s="455">
        <v>0.01</v>
      </c>
      <c r="J117" s="456"/>
      <c r="K117" s="456"/>
      <c r="L117" s="452">
        <v>42736</v>
      </c>
      <c r="N117" s="455"/>
      <c r="O117" s="456"/>
      <c r="P117" s="456"/>
      <c r="S117" s="455"/>
      <c r="T117" s="456"/>
      <c r="U117" s="456"/>
      <c r="X117" s="455"/>
      <c r="Y117" s="456"/>
      <c r="Z117" s="456"/>
      <c r="AC117" s="455"/>
      <c r="AD117" s="456"/>
      <c r="AE117" s="456"/>
      <c r="AH117" s="455"/>
      <c r="AI117" s="456"/>
      <c r="AJ117" s="456"/>
      <c r="AM117" s="455"/>
      <c r="AN117" s="456"/>
      <c r="AO117" s="456"/>
      <c r="AR117" s="455"/>
      <c r="AS117" s="456"/>
      <c r="AT117" s="456"/>
      <c r="AW117" s="455"/>
      <c r="AX117" s="456"/>
      <c r="AY117" s="456"/>
    </row>
    <row r="118" spans="1:53" s="763" customFormat="1" x14ac:dyDescent="0.2">
      <c r="A118" s="756">
        <f t="shared" si="0"/>
        <v>116</v>
      </c>
      <c r="B118" s="777">
        <v>325</v>
      </c>
      <c r="C118" s="778" t="s">
        <v>1661</v>
      </c>
      <c r="D118" s="759">
        <v>0</v>
      </c>
      <c r="E118" s="760"/>
      <c r="F118" s="760"/>
      <c r="G118" s="761">
        <v>37987</v>
      </c>
      <c r="H118" s="762">
        <v>43465</v>
      </c>
      <c r="I118" s="759">
        <v>0.01</v>
      </c>
      <c r="J118" s="760"/>
      <c r="K118" s="760"/>
      <c r="L118" s="761">
        <v>43466</v>
      </c>
      <c r="M118" s="762"/>
      <c r="N118" s="759"/>
      <c r="O118" s="760"/>
      <c r="P118" s="760"/>
      <c r="Q118" s="761"/>
      <c r="R118" s="762"/>
      <c r="S118" s="759"/>
      <c r="T118" s="760"/>
      <c r="U118" s="760"/>
      <c r="V118" s="761"/>
      <c r="W118" s="762"/>
      <c r="X118" s="759"/>
      <c r="Y118" s="760"/>
      <c r="Z118" s="760"/>
      <c r="AA118" s="761"/>
      <c r="AB118" s="762"/>
      <c r="AC118" s="759"/>
      <c r="AD118" s="760"/>
      <c r="AE118" s="760"/>
      <c r="AF118" s="761"/>
      <c r="AG118" s="762"/>
      <c r="AH118" s="759"/>
      <c r="AI118" s="760"/>
      <c r="AJ118" s="760"/>
      <c r="AK118" s="761"/>
      <c r="AL118" s="762"/>
      <c r="AM118" s="759"/>
      <c r="AN118" s="760"/>
      <c r="AO118" s="760"/>
      <c r="AP118" s="761"/>
      <c r="AQ118" s="762"/>
      <c r="AR118" s="759"/>
      <c r="AS118" s="760"/>
      <c r="AT118" s="760"/>
      <c r="AU118" s="761"/>
      <c r="AV118" s="762"/>
      <c r="AW118" s="759"/>
      <c r="AX118" s="760"/>
      <c r="AY118" s="760"/>
      <c r="AZ118" s="761"/>
      <c r="BA118" s="762"/>
    </row>
    <row r="119" spans="1:53" x14ac:dyDescent="0.2">
      <c r="A119" s="447">
        <f t="shared" si="0"/>
        <v>117</v>
      </c>
      <c r="B119" s="462">
        <v>339</v>
      </c>
      <c r="C119" s="457" t="s">
        <v>956</v>
      </c>
      <c r="D119" s="455">
        <v>0.01</v>
      </c>
      <c r="E119" s="456"/>
      <c r="F119" s="456"/>
      <c r="G119" s="452">
        <v>37987</v>
      </c>
      <c r="I119" s="455"/>
      <c r="J119" s="456"/>
      <c r="K119" s="456"/>
      <c r="N119" s="455"/>
      <c r="O119" s="456"/>
      <c r="P119" s="456"/>
      <c r="S119" s="455"/>
      <c r="T119" s="456"/>
      <c r="U119" s="456"/>
      <c r="X119" s="455"/>
      <c r="Y119" s="456"/>
      <c r="Z119" s="456"/>
      <c r="AC119" s="455"/>
      <c r="AD119" s="456"/>
      <c r="AE119" s="456"/>
      <c r="AH119" s="455"/>
      <c r="AI119" s="456"/>
      <c r="AJ119" s="456"/>
      <c r="AM119" s="455"/>
      <c r="AN119" s="456"/>
      <c r="AO119" s="456"/>
      <c r="AR119" s="455"/>
      <c r="AS119" s="456"/>
      <c r="AT119" s="456"/>
      <c r="AW119" s="455"/>
      <c r="AX119" s="456"/>
      <c r="AY119" s="456"/>
    </row>
    <row r="120" spans="1:53" x14ac:dyDescent="0.2">
      <c r="A120" s="447">
        <f t="shared" si="0"/>
        <v>118</v>
      </c>
      <c r="B120" s="462">
        <v>329</v>
      </c>
      <c r="C120" s="457" t="s">
        <v>1469</v>
      </c>
      <c r="D120" s="455">
        <v>0.01</v>
      </c>
      <c r="E120" s="456"/>
      <c r="F120" s="456"/>
      <c r="G120" s="452">
        <v>37987</v>
      </c>
      <c r="I120" s="455"/>
      <c r="J120" s="456"/>
      <c r="K120" s="456"/>
      <c r="N120" s="455"/>
      <c r="O120" s="456"/>
      <c r="P120" s="456"/>
      <c r="S120" s="455"/>
      <c r="T120" s="456"/>
      <c r="U120" s="456"/>
      <c r="X120" s="455"/>
      <c r="Y120" s="456"/>
      <c r="Z120" s="456"/>
      <c r="AC120" s="455"/>
      <c r="AD120" s="456"/>
      <c r="AE120" s="456"/>
      <c r="AH120" s="455"/>
      <c r="AI120" s="456"/>
      <c r="AJ120" s="456"/>
      <c r="AM120" s="455"/>
      <c r="AN120" s="456"/>
      <c r="AO120" s="456"/>
      <c r="AR120" s="455"/>
      <c r="AS120" s="456"/>
      <c r="AT120" s="456"/>
      <c r="AW120" s="455"/>
      <c r="AX120" s="456"/>
      <c r="AY120" s="456"/>
    </row>
    <row r="121" spans="1:53" x14ac:dyDescent="0.2">
      <c r="A121" s="447">
        <f t="shared" si="0"/>
        <v>119</v>
      </c>
      <c r="B121" s="462">
        <v>326</v>
      </c>
      <c r="C121" s="457" t="s">
        <v>1068</v>
      </c>
      <c r="D121" s="455">
        <v>0</v>
      </c>
      <c r="E121" s="456"/>
      <c r="F121" s="456"/>
      <c r="G121" s="452">
        <v>37987</v>
      </c>
      <c r="H121" s="453">
        <v>40908</v>
      </c>
      <c r="I121" s="455">
        <v>0.01</v>
      </c>
      <c r="J121" s="456"/>
      <c r="K121" s="456"/>
      <c r="L121" s="452">
        <v>40909</v>
      </c>
      <c r="N121" s="455"/>
      <c r="O121" s="456"/>
      <c r="P121" s="456"/>
      <c r="S121" s="455"/>
      <c r="T121" s="456"/>
      <c r="U121" s="456"/>
      <c r="X121" s="455"/>
      <c r="Y121" s="456"/>
      <c r="Z121" s="456"/>
      <c r="AC121" s="455"/>
      <c r="AD121" s="456"/>
      <c r="AE121" s="456"/>
      <c r="AH121" s="455"/>
      <c r="AI121" s="456"/>
      <c r="AJ121" s="456"/>
      <c r="AM121" s="455"/>
      <c r="AN121" s="456"/>
      <c r="AO121" s="456"/>
      <c r="AR121" s="455"/>
      <c r="AS121" s="456"/>
      <c r="AT121" s="456"/>
      <c r="AW121" s="455"/>
      <c r="AX121" s="456"/>
      <c r="AY121" s="456"/>
    </row>
    <row r="122" spans="1:53" x14ac:dyDescent="0.2">
      <c r="A122" s="447">
        <f t="shared" si="0"/>
        <v>120</v>
      </c>
      <c r="B122" s="462">
        <v>364</v>
      </c>
      <c r="C122" s="457" t="s">
        <v>851</v>
      </c>
      <c r="D122" s="455">
        <v>0.01</v>
      </c>
      <c r="E122" s="456"/>
      <c r="F122" s="456"/>
      <c r="G122" s="452">
        <v>37987</v>
      </c>
      <c r="I122" s="455"/>
      <c r="J122" s="456"/>
      <c r="K122" s="456"/>
      <c r="N122" s="455"/>
      <c r="O122" s="456"/>
      <c r="P122" s="456"/>
      <c r="S122" s="455"/>
      <c r="T122" s="456"/>
      <c r="U122" s="456"/>
      <c r="X122" s="455"/>
      <c r="Y122" s="456"/>
      <c r="Z122" s="456"/>
      <c r="AC122" s="455"/>
      <c r="AD122" s="456"/>
      <c r="AE122" s="456"/>
      <c r="AH122" s="455"/>
      <c r="AI122" s="456"/>
      <c r="AJ122" s="456"/>
      <c r="AM122" s="455"/>
      <c r="AN122" s="456"/>
      <c r="AO122" s="456"/>
      <c r="AR122" s="455"/>
      <c r="AS122" s="456"/>
      <c r="AT122" s="456"/>
      <c r="AW122" s="455"/>
      <c r="AX122" s="456"/>
      <c r="AY122" s="456"/>
    </row>
    <row r="123" spans="1:53" x14ac:dyDescent="0.2">
      <c r="A123" s="447">
        <f t="shared" si="0"/>
        <v>121</v>
      </c>
      <c r="B123" s="462">
        <v>370</v>
      </c>
      <c r="C123" s="457" t="s">
        <v>852</v>
      </c>
      <c r="D123" s="455">
        <v>1.4999999999999999E-2</v>
      </c>
      <c r="E123" s="456"/>
      <c r="F123" s="456"/>
      <c r="G123" s="452">
        <v>37987</v>
      </c>
      <c r="H123" s="453">
        <v>39082</v>
      </c>
      <c r="I123" s="455">
        <v>0.02</v>
      </c>
      <c r="J123" s="456"/>
      <c r="K123" s="456"/>
      <c r="L123" s="452">
        <v>39083</v>
      </c>
      <c r="N123" s="455"/>
      <c r="O123" s="456"/>
      <c r="P123" s="456"/>
      <c r="S123" s="455"/>
      <c r="T123" s="456"/>
      <c r="U123" s="456"/>
      <c r="X123" s="455"/>
      <c r="Y123" s="456"/>
      <c r="Z123" s="456"/>
      <c r="AC123" s="455"/>
      <c r="AD123" s="456"/>
      <c r="AE123" s="456"/>
      <c r="AH123" s="455"/>
      <c r="AI123" s="456"/>
      <c r="AJ123" s="456"/>
      <c r="AM123" s="455"/>
      <c r="AN123" s="456"/>
      <c r="AO123" s="456"/>
      <c r="AR123" s="455"/>
      <c r="AS123" s="456"/>
      <c r="AT123" s="456"/>
      <c r="AW123" s="455"/>
      <c r="AX123" s="456"/>
      <c r="AY123" s="456"/>
    </row>
    <row r="124" spans="1:53" x14ac:dyDescent="0.2">
      <c r="A124" s="447">
        <f t="shared" si="0"/>
        <v>122</v>
      </c>
      <c r="B124" s="462">
        <v>371</v>
      </c>
      <c r="C124" s="458" t="s">
        <v>68</v>
      </c>
      <c r="D124" s="455">
        <v>0.02</v>
      </c>
      <c r="E124" s="456"/>
      <c r="F124" s="456"/>
      <c r="G124" s="452">
        <v>37987</v>
      </c>
      <c r="I124" s="455"/>
      <c r="J124" s="456"/>
      <c r="K124" s="456"/>
      <c r="N124" s="455"/>
      <c r="O124" s="456"/>
      <c r="P124" s="456"/>
      <c r="S124" s="455"/>
      <c r="T124" s="456"/>
      <c r="U124" s="456"/>
      <c r="X124" s="455"/>
      <c r="Y124" s="456"/>
      <c r="Z124" s="456"/>
      <c r="AC124" s="455"/>
      <c r="AD124" s="456"/>
      <c r="AE124" s="456"/>
      <c r="AH124" s="455"/>
      <c r="AI124" s="456"/>
      <c r="AJ124" s="456"/>
      <c r="AM124" s="455"/>
      <c r="AN124" s="456"/>
      <c r="AO124" s="456"/>
      <c r="AR124" s="455"/>
      <c r="AS124" s="456"/>
      <c r="AT124" s="456"/>
      <c r="AW124" s="455"/>
      <c r="AX124" s="456"/>
      <c r="AY124" s="456"/>
    </row>
    <row r="125" spans="1:53" x14ac:dyDescent="0.2">
      <c r="A125" s="447">
        <f t="shared" si="0"/>
        <v>123</v>
      </c>
      <c r="B125" s="462">
        <v>375</v>
      </c>
      <c r="C125" s="458" t="s">
        <v>1438</v>
      </c>
      <c r="D125" s="455">
        <v>0.02</v>
      </c>
      <c r="E125" s="456"/>
      <c r="F125" s="456"/>
      <c r="G125" s="452">
        <v>37987</v>
      </c>
      <c r="H125" s="453">
        <v>43281</v>
      </c>
      <c r="I125" s="455">
        <v>2.2499999999999999E-2</v>
      </c>
      <c r="J125" s="456"/>
      <c r="K125" s="456"/>
      <c r="L125" s="452">
        <v>43282</v>
      </c>
      <c r="N125" s="455"/>
      <c r="O125" s="456"/>
      <c r="P125" s="456"/>
      <c r="S125" s="455"/>
      <c r="T125" s="456"/>
      <c r="U125" s="456"/>
      <c r="X125" s="455"/>
      <c r="Y125" s="456"/>
      <c r="Z125" s="456"/>
      <c r="AC125" s="455"/>
      <c r="AD125" s="456"/>
      <c r="AE125" s="456"/>
      <c r="AH125" s="455"/>
      <c r="AI125" s="456"/>
      <c r="AJ125" s="456"/>
      <c r="AM125" s="455"/>
      <c r="AN125" s="456"/>
      <c r="AO125" s="456"/>
      <c r="AR125" s="455"/>
      <c r="AS125" s="456"/>
      <c r="AT125" s="456"/>
      <c r="AW125" s="455"/>
      <c r="AX125" s="456"/>
      <c r="AY125" s="456"/>
    </row>
    <row r="126" spans="1:53" x14ac:dyDescent="0.2">
      <c r="A126" s="447">
        <f t="shared" si="0"/>
        <v>124</v>
      </c>
      <c r="B126" s="462">
        <v>381</v>
      </c>
      <c r="C126" s="458" t="s">
        <v>1491</v>
      </c>
      <c r="D126" s="455">
        <v>2.2499999999999999E-2</v>
      </c>
      <c r="E126" s="456"/>
      <c r="F126" s="456"/>
      <c r="G126" s="452">
        <v>37987</v>
      </c>
      <c r="I126" s="455"/>
      <c r="J126" s="456"/>
      <c r="K126" s="456"/>
      <c r="N126" s="455"/>
      <c r="O126" s="456"/>
      <c r="P126" s="456"/>
      <c r="S126" s="455"/>
      <c r="T126" s="456"/>
      <c r="U126" s="456"/>
      <c r="X126" s="455"/>
      <c r="Y126" s="456"/>
      <c r="Z126" s="456"/>
      <c r="AC126" s="455"/>
      <c r="AD126" s="456"/>
      <c r="AE126" s="456"/>
      <c r="AH126" s="455"/>
      <c r="AI126" s="456"/>
      <c r="AJ126" s="456"/>
      <c r="AM126" s="455"/>
      <c r="AN126" s="456"/>
      <c r="AO126" s="456"/>
      <c r="AR126" s="455"/>
      <c r="AS126" s="456"/>
      <c r="AT126" s="456"/>
      <c r="AW126" s="455"/>
      <c r="AX126" s="456"/>
      <c r="AY126" s="456"/>
    </row>
    <row r="127" spans="1:53" x14ac:dyDescent="0.2">
      <c r="A127" s="447">
        <f t="shared" si="0"/>
        <v>125</v>
      </c>
      <c r="B127" s="462">
        <v>381</v>
      </c>
      <c r="C127" s="695" t="s">
        <v>1492</v>
      </c>
      <c r="D127" s="455">
        <v>0</v>
      </c>
      <c r="E127" s="456"/>
      <c r="F127" s="456"/>
      <c r="G127" s="452">
        <v>37987</v>
      </c>
      <c r="H127" s="453">
        <v>42185</v>
      </c>
      <c r="I127" s="455">
        <v>1.4999999999999999E-2</v>
      </c>
      <c r="J127" s="456"/>
      <c r="K127" s="456"/>
      <c r="L127" s="452">
        <v>42186</v>
      </c>
      <c r="N127" s="455"/>
      <c r="O127" s="456"/>
      <c r="P127" s="456"/>
      <c r="S127" s="455"/>
      <c r="T127" s="456"/>
      <c r="U127" s="456"/>
      <c r="X127" s="455"/>
      <c r="Y127" s="456"/>
      <c r="Z127" s="456"/>
      <c r="AC127" s="455"/>
      <c r="AD127" s="456"/>
      <c r="AE127" s="456"/>
      <c r="AH127" s="455"/>
      <c r="AI127" s="456"/>
      <c r="AJ127" s="456"/>
      <c r="AM127" s="455"/>
      <c r="AN127" s="456"/>
      <c r="AO127" s="456"/>
      <c r="AR127" s="455"/>
      <c r="AS127" s="456"/>
      <c r="AT127" s="456"/>
      <c r="AW127" s="455"/>
      <c r="AX127" s="456"/>
      <c r="AY127" s="456"/>
    </row>
    <row r="128" spans="1:53" x14ac:dyDescent="0.2">
      <c r="A128" s="447">
        <f t="shared" si="0"/>
        <v>126</v>
      </c>
      <c r="B128" s="462">
        <v>431</v>
      </c>
      <c r="C128" s="458" t="s">
        <v>495</v>
      </c>
      <c r="D128" s="459">
        <v>0.01</v>
      </c>
      <c r="E128" s="460"/>
      <c r="F128" s="460"/>
      <c r="G128" s="452">
        <v>37987</v>
      </c>
      <c r="I128" s="455"/>
      <c r="J128" s="456"/>
      <c r="K128" s="456"/>
      <c r="N128" s="455"/>
      <c r="O128" s="456"/>
      <c r="P128" s="456"/>
      <c r="S128" s="455"/>
      <c r="T128" s="456"/>
      <c r="U128" s="456"/>
      <c r="X128" s="455"/>
      <c r="Y128" s="456"/>
      <c r="Z128" s="456"/>
      <c r="AC128" s="455"/>
      <c r="AD128" s="456"/>
      <c r="AE128" s="456"/>
      <c r="AH128" s="455"/>
      <c r="AI128" s="456"/>
      <c r="AJ128" s="456"/>
      <c r="AM128" s="455"/>
      <c r="AN128" s="456"/>
      <c r="AO128" s="456"/>
      <c r="AR128" s="455"/>
      <c r="AS128" s="456"/>
      <c r="AT128" s="456"/>
      <c r="AW128" s="455"/>
      <c r="AX128" s="456"/>
      <c r="AY128" s="456"/>
    </row>
    <row r="129" spans="1:53" x14ac:dyDescent="0.2">
      <c r="A129" s="447">
        <f t="shared" si="0"/>
        <v>127</v>
      </c>
      <c r="B129" s="462">
        <v>378</v>
      </c>
      <c r="C129" s="457" t="s">
        <v>853</v>
      </c>
      <c r="D129" s="459">
        <v>0.01</v>
      </c>
      <c r="E129" s="460"/>
      <c r="F129" s="460"/>
      <c r="G129" s="452">
        <v>37987</v>
      </c>
      <c r="H129" s="453">
        <v>38352</v>
      </c>
      <c r="I129" s="455">
        <v>0.02</v>
      </c>
      <c r="J129" s="456"/>
      <c r="K129" s="456"/>
      <c r="L129" s="452">
        <v>38353</v>
      </c>
      <c r="N129" s="455"/>
      <c r="O129" s="456"/>
      <c r="P129" s="456"/>
      <c r="S129" s="455"/>
      <c r="T129" s="456"/>
      <c r="U129" s="456"/>
      <c r="X129" s="455"/>
      <c r="Y129" s="456"/>
      <c r="Z129" s="456"/>
      <c r="AC129" s="455"/>
      <c r="AD129" s="456"/>
      <c r="AE129" s="456"/>
      <c r="AH129" s="455"/>
      <c r="AI129" s="456"/>
      <c r="AJ129" s="456"/>
      <c r="AM129" s="455"/>
      <c r="AN129" s="456"/>
      <c r="AO129" s="456"/>
      <c r="AR129" s="455"/>
      <c r="AS129" s="456"/>
      <c r="AT129" s="456"/>
      <c r="AW129" s="455"/>
      <c r="AX129" s="456"/>
      <c r="AY129" s="456"/>
    </row>
    <row r="130" spans="1:53" x14ac:dyDescent="0.2">
      <c r="A130" s="447">
        <f>+A129+1</f>
        <v>128</v>
      </c>
      <c r="B130" s="462">
        <v>385</v>
      </c>
      <c r="C130" s="457" t="s">
        <v>1367</v>
      </c>
      <c r="D130" s="459">
        <v>0.01</v>
      </c>
      <c r="E130" s="460"/>
      <c r="F130" s="460"/>
      <c r="G130" s="452">
        <v>37987</v>
      </c>
      <c r="I130" s="455"/>
      <c r="J130" s="456"/>
      <c r="K130" s="456"/>
      <c r="N130" s="455"/>
      <c r="O130" s="456"/>
      <c r="P130" s="456"/>
      <c r="S130" s="455"/>
      <c r="T130" s="456"/>
      <c r="U130" s="456"/>
      <c r="X130" s="455"/>
      <c r="Y130" s="456"/>
      <c r="Z130" s="456"/>
      <c r="AC130" s="455"/>
      <c r="AD130" s="456"/>
      <c r="AE130" s="456"/>
      <c r="AH130" s="455"/>
      <c r="AI130" s="456"/>
      <c r="AJ130" s="456"/>
      <c r="AM130" s="455"/>
      <c r="AN130" s="456"/>
      <c r="AO130" s="456"/>
      <c r="AR130" s="455"/>
      <c r="AS130" s="456"/>
      <c r="AT130" s="456"/>
      <c r="AW130" s="455"/>
      <c r="AX130" s="456"/>
      <c r="AY130" s="456"/>
    </row>
    <row r="131" spans="1:53" x14ac:dyDescent="0.2">
      <c r="A131" s="447">
        <f>+A130+1</f>
        <v>129</v>
      </c>
      <c r="B131" s="462">
        <v>390</v>
      </c>
      <c r="C131" s="457" t="s">
        <v>854</v>
      </c>
      <c r="D131" s="455">
        <v>0.02</v>
      </c>
      <c r="E131" s="456"/>
      <c r="F131" s="456"/>
      <c r="G131" s="452">
        <v>37987</v>
      </c>
      <c r="I131" s="455"/>
      <c r="J131" s="456"/>
      <c r="K131" s="456"/>
      <c r="N131" s="455"/>
      <c r="O131" s="456"/>
      <c r="P131" s="456"/>
      <c r="S131" s="455"/>
      <c r="T131" s="456"/>
      <c r="U131" s="456"/>
      <c r="X131" s="455"/>
      <c r="Y131" s="456"/>
      <c r="Z131" s="456"/>
      <c r="AC131" s="455"/>
      <c r="AD131" s="456"/>
      <c r="AE131" s="456"/>
      <c r="AH131" s="455"/>
      <c r="AI131" s="456"/>
      <c r="AJ131" s="456"/>
      <c r="AM131" s="455"/>
      <c r="AN131" s="456"/>
      <c r="AO131" s="456"/>
      <c r="AR131" s="455"/>
      <c r="AS131" s="456"/>
      <c r="AT131" s="456"/>
      <c r="AW131" s="455"/>
      <c r="AX131" s="456"/>
      <c r="AY131" s="456"/>
    </row>
    <row r="132" spans="1:53" s="763" customFormat="1" x14ac:dyDescent="0.2">
      <c r="A132" s="756">
        <f>+A131+1</f>
        <v>130</v>
      </c>
      <c r="B132" s="777">
        <v>374</v>
      </c>
      <c r="C132" s="778" t="s">
        <v>1662</v>
      </c>
      <c r="D132" s="759">
        <v>0</v>
      </c>
      <c r="E132" s="760"/>
      <c r="F132" s="760"/>
      <c r="G132" s="761">
        <v>37987</v>
      </c>
      <c r="H132" s="762">
        <v>43281</v>
      </c>
      <c r="I132" s="759">
        <v>0.01</v>
      </c>
      <c r="J132" s="760"/>
      <c r="K132" s="760"/>
      <c r="L132" s="761">
        <v>43282</v>
      </c>
      <c r="M132" s="762"/>
      <c r="N132" s="759"/>
      <c r="O132" s="760"/>
      <c r="P132" s="760"/>
      <c r="Q132" s="761"/>
      <c r="R132" s="762"/>
      <c r="S132" s="759"/>
      <c r="T132" s="760"/>
      <c r="U132" s="760"/>
      <c r="V132" s="761"/>
      <c r="W132" s="762"/>
      <c r="X132" s="759"/>
      <c r="Y132" s="760"/>
      <c r="Z132" s="760"/>
      <c r="AA132" s="761"/>
      <c r="AB132" s="762"/>
      <c r="AC132" s="759"/>
      <c r="AD132" s="760"/>
      <c r="AE132" s="760"/>
      <c r="AF132" s="761"/>
      <c r="AG132" s="762"/>
      <c r="AH132" s="759"/>
      <c r="AI132" s="760"/>
      <c r="AJ132" s="760"/>
      <c r="AK132" s="761"/>
      <c r="AL132" s="762"/>
      <c r="AM132" s="759"/>
      <c r="AN132" s="760"/>
      <c r="AO132" s="760"/>
      <c r="AP132" s="761"/>
      <c r="AQ132" s="762"/>
      <c r="AR132" s="759"/>
      <c r="AS132" s="760"/>
      <c r="AT132" s="760"/>
      <c r="AU132" s="761"/>
      <c r="AV132" s="762"/>
      <c r="AW132" s="759"/>
      <c r="AX132" s="760"/>
      <c r="AY132" s="760"/>
      <c r="AZ132" s="761"/>
      <c r="BA132" s="762"/>
    </row>
    <row r="133" spans="1:53" x14ac:dyDescent="0.2">
      <c r="A133" s="447">
        <f>+A132+1</f>
        <v>131</v>
      </c>
      <c r="B133" s="462">
        <v>340</v>
      </c>
      <c r="C133" s="457" t="s">
        <v>1283</v>
      </c>
      <c r="D133" s="455">
        <v>1.4999999999999999E-2</v>
      </c>
      <c r="E133" s="456"/>
      <c r="F133" s="456"/>
      <c r="G133" s="452">
        <v>37987</v>
      </c>
      <c r="I133" s="455"/>
      <c r="J133" s="456"/>
      <c r="K133" s="456"/>
      <c r="N133" s="455"/>
      <c r="O133" s="456"/>
      <c r="P133" s="456"/>
      <c r="S133" s="455"/>
      <c r="T133" s="456"/>
      <c r="U133" s="456"/>
      <c r="X133" s="455"/>
      <c r="Y133" s="456"/>
      <c r="Z133" s="456"/>
      <c r="AC133" s="455"/>
      <c r="AD133" s="456"/>
      <c r="AE133" s="456"/>
      <c r="AH133" s="455"/>
      <c r="AI133" s="456"/>
      <c r="AJ133" s="456"/>
      <c r="AM133" s="455"/>
      <c r="AN133" s="456"/>
      <c r="AO133" s="456"/>
      <c r="AR133" s="455"/>
      <c r="AS133" s="456"/>
      <c r="AT133" s="456"/>
      <c r="AW133" s="455"/>
      <c r="AX133" s="456"/>
      <c r="AY133" s="456"/>
    </row>
    <row r="134" spans="1:53" x14ac:dyDescent="0.2">
      <c r="A134" s="447">
        <f t="shared" si="0"/>
        <v>132</v>
      </c>
      <c r="B134" s="462">
        <v>438</v>
      </c>
      <c r="C134" s="458" t="s">
        <v>1574</v>
      </c>
      <c r="D134" s="455">
        <v>0.01</v>
      </c>
      <c r="E134" s="456"/>
      <c r="F134" s="456"/>
      <c r="G134" s="452">
        <v>37987</v>
      </c>
      <c r="I134" s="455"/>
      <c r="J134" s="456"/>
      <c r="K134" s="456"/>
      <c r="N134" s="455"/>
      <c r="O134" s="456"/>
      <c r="P134" s="456"/>
      <c r="S134" s="455"/>
      <c r="T134" s="456"/>
      <c r="U134" s="456"/>
      <c r="X134" s="455"/>
      <c r="Y134" s="456"/>
      <c r="Z134" s="456"/>
      <c r="AC134" s="455"/>
      <c r="AD134" s="456"/>
      <c r="AE134" s="456"/>
      <c r="AH134" s="455"/>
      <c r="AI134" s="456"/>
      <c r="AJ134" s="456"/>
      <c r="AM134" s="455"/>
      <c r="AN134" s="456"/>
      <c r="AO134" s="456"/>
      <c r="AR134" s="455"/>
      <c r="AS134" s="456"/>
      <c r="AT134" s="456"/>
      <c r="AW134" s="455"/>
      <c r="AX134" s="456"/>
      <c r="AY134" s="456"/>
    </row>
    <row r="135" spans="1:53" x14ac:dyDescent="0.2">
      <c r="A135" s="447">
        <f t="shared" si="0"/>
        <v>133</v>
      </c>
      <c r="B135" s="462">
        <v>312</v>
      </c>
      <c r="C135" s="458" t="s">
        <v>508</v>
      </c>
      <c r="D135" s="455">
        <v>0</v>
      </c>
      <c r="E135" s="456"/>
      <c r="F135" s="456"/>
      <c r="G135" s="452">
        <v>37987</v>
      </c>
      <c r="I135" s="455"/>
      <c r="J135" s="456"/>
      <c r="K135" s="456"/>
      <c r="N135" s="455"/>
      <c r="O135" s="456"/>
      <c r="P135" s="456"/>
      <c r="S135" s="455"/>
      <c r="T135" s="456"/>
      <c r="U135" s="456"/>
      <c r="X135" s="455"/>
      <c r="Y135" s="456"/>
      <c r="Z135" s="456"/>
      <c r="AC135" s="455"/>
      <c r="AD135" s="456"/>
      <c r="AE135" s="456"/>
      <c r="AH135" s="455"/>
      <c r="AI135" s="456"/>
      <c r="AJ135" s="456"/>
      <c r="AM135" s="455"/>
      <c r="AN135" s="456"/>
      <c r="AO135" s="456"/>
      <c r="AR135" s="455"/>
      <c r="AS135" s="456"/>
      <c r="AT135" s="456"/>
      <c r="AW135" s="455"/>
      <c r="AX135" s="456"/>
      <c r="AY135" s="456"/>
    </row>
    <row r="136" spans="1:53" x14ac:dyDescent="0.2">
      <c r="A136" s="447">
        <f t="shared" si="0"/>
        <v>134</v>
      </c>
      <c r="B136" s="462">
        <v>313</v>
      </c>
      <c r="C136" s="458" t="s">
        <v>929</v>
      </c>
      <c r="D136" s="455">
        <v>0</v>
      </c>
      <c r="E136" s="456"/>
      <c r="F136" s="456"/>
      <c r="G136" s="452">
        <v>37987</v>
      </c>
      <c r="H136" s="453">
        <v>41274</v>
      </c>
      <c r="I136" s="455">
        <v>0.01</v>
      </c>
      <c r="J136" s="456"/>
      <c r="K136" s="456"/>
      <c r="L136" s="452">
        <v>41275</v>
      </c>
      <c r="N136" s="455"/>
      <c r="O136" s="456"/>
      <c r="P136" s="456"/>
      <c r="S136" s="455"/>
      <c r="T136" s="456"/>
      <c r="U136" s="456"/>
      <c r="X136" s="455"/>
      <c r="Y136" s="456"/>
      <c r="Z136" s="456"/>
      <c r="AC136" s="455"/>
      <c r="AD136" s="456"/>
      <c r="AE136" s="456"/>
      <c r="AH136" s="455"/>
      <c r="AI136" s="456"/>
      <c r="AJ136" s="456"/>
      <c r="AM136" s="455"/>
      <c r="AN136" s="456"/>
      <c r="AO136" s="456"/>
      <c r="AR136" s="455"/>
      <c r="AS136" s="456"/>
      <c r="AT136" s="456"/>
      <c r="AW136" s="455"/>
      <c r="AX136" s="456"/>
      <c r="AY136" s="456"/>
    </row>
    <row r="137" spans="1:53" x14ac:dyDescent="0.2">
      <c r="A137" s="447">
        <f>+A136+1</f>
        <v>135</v>
      </c>
      <c r="B137" s="462">
        <v>377</v>
      </c>
      <c r="C137" s="457" t="s">
        <v>855</v>
      </c>
      <c r="D137" s="455">
        <v>0.01</v>
      </c>
      <c r="E137" s="456"/>
      <c r="F137" s="456"/>
      <c r="G137" s="452">
        <v>37987</v>
      </c>
      <c r="I137" s="455"/>
      <c r="J137" s="456"/>
      <c r="K137" s="456"/>
      <c r="N137" s="455"/>
      <c r="O137" s="456"/>
      <c r="P137" s="456"/>
      <c r="S137" s="455"/>
      <c r="T137" s="456"/>
      <c r="U137" s="456"/>
      <c r="X137" s="455"/>
      <c r="Y137" s="456"/>
      <c r="Z137" s="456"/>
      <c r="AC137" s="455"/>
      <c r="AD137" s="456"/>
      <c r="AE137" s="456"/>
      <c r="AH137" s="455"/>
      <c r="AI137" s="456"/>
      <c r="AJ137" s="456"/>
      <c r="AM137" s="455"/>
      <c r="AN137" s="456"/>
      <c r="AO137" s="456"/>
      <c r="AR137" s="455"/>
      <c r="AS137" s="456"/>
      <c r="AT137" s="456"/>
      <c r="AW137" s="455"/>
      <c r="AX137" s="456"/>
      <c r="AY137" s="456"/>
    </row>
    <row r="138" spans="1:53" x14ac:dyDescent="0.2">
      <c r="A138" s="447">
        <f t="shared" ref="A138:A254" si="2">+A137+1</f>
        <v>136</v>
      </c>
      <c r="B138" s="462">
        <v>386</v>
      </c>
      <c r="C138" s="457" t="s">
        <v>1116</v>
      </c>
      <c r="D138" s="455">
        <v>0.01</v>
      </c>
      <c r="E138" s="456"/>
      <c r="F138" s="456"/>
      <c r="G138" s="452">
        <v>37987</v>
      </c>
      <c r="I138" s="455"/>
      <c r="J138" s="456"/>
      <c r="K138" s="456"/>
      <c r="N138" s="455"/>
      <c r="O138" s="456"/>
      <c r="P138" s="456"/>
      <c r="S138" s="455"/>
      <c r="T138" s="456"/>
      <c r="U138" s="456"/>
      <c r="X138" s="455"/>
      <c r="Y138" s="456"/>
      <c r="Z138" s="456"/>
      <c r="AC138" s="455"/>
      <c r="AD138" s="456"/>
      <c r="AE138" s="456"/>
      <c r="AH138" s="455"/>
      <c r="AI138" s="456"/>
      <c r="AJ138" s="456"/>
      <c r="AM138" s="455"/>
      <c r="AN138" s="456"/>
      <c r="AO138" s="456"/>
      <c r="AR138" s="455"/>
      <c r="AS138" s="456"/>
      <c r="AT138" s="456"/>
      <c r="AW138" s="455"/>
      <c r="AX138" s="456"/>
      <c r="AY138" s="456"/>
    </row>
    <row r="139" spans="1:53" x14ac:dyDescent="0.2">
      <c r="A139" s="447">
        <f t="shared" si="2"/>
        <v>137</v>
      </c>
      <c r="B139" s="462">
        <v>392</v>
      </c>
      <c r="C139" s="458" t="s">
        <v>1310</v>
      </c>
      <c r="D139" s="455">
        <v>0.02</v>
      </c>
      <c r="E139" s="456"/>
      <c r="F139" s="456"/>
      <c r="G139" s="452">
        <v>37987</v>
      </c>
      <c r="H139" s="453">
        <v>41639</v>
      </c>
      <c r="I139" s="455">
        <v>2.2499999999999999E-2</v>
      </c>
      <c r="J139" s="456"/>
      <c r="K139" s="456"/>
      <c r="L139" s="452">
        <v>41640</v>
      </c>
      <c r="N139" s="455"/>
      <c r="O139" s="456"/>
      <c r="P139" s="456"/>
      <c r="S139" s="455"/>
      <c r="T139" s="456"/>
      <c r="U139" s="456"/>
      <c r="X139" s="455"/>
      <c r="Y139" s="456"/>
      <c r="Z139" s="456"/>
      <c r="AC139" s="455"/>
      <c r="AD139" s="456"/>
      <c r="AE139" s="456"/>
      <c r="AH139" s="455"/>
      <c r="AI139" s="456"/>
      <c r="AJ139" s="456"/>
      <c r="AM139" s="455"/>
      <c r="AN139" s="456"/>
      <c r="AO139" s="456"/>
      <c r="AR139" s="455"/>
      <c r="AS139" s="456"/>
      <c r="AT139" s="456"/>
      <c r="AW139" s="455"/>
      <c r="AX139" s="456"/>
      <c r="AY139" s="456"/>
    </row>
    <row r="140" spans="1:53" x14ac:dyDescent="0.2">
      <c r="A140" s="447">
        <f t="shared" si="2"/>
        <v>138</v>
      </c>
      <c r="B140" s="462">
        <v>412</v>
      </c>
      <c r="C140" s="457" t="s">
        <v>1179</v>
      </c>
      <c r="D140" s="455">
        <v>0</v>
      </c>
      <c r="E140" s="456"/>
      <c r="F140" s="456"/>
      <c r="G140" s="452">
        <v>37987</v>
      </c>
      <c r="H140" s="453">
        <v>40178</v>
      </c>
      <c r="I140" s="455">
        <v>0.01</v>
      </c>
      <c r="J140" s="456"/>
      <c r="K140" s="456"/>
      <c r="L140" s="452">
        <v>40179</v>
      </c>
      <c r="N140" s="455"/>
      <c r="O140" s="456"/>
      <c r="P140" s="456"/>
      <c r="S140" s="455"/>
      <c r="T140" s="456"/>
      <c r="U140" s="456"/>
      <c r="X140" s="455"/>
      <c r="Y140" s="456"/>
      <c r="Z140" s="456"/>
      <c r="AC140" s="455"/>
      <c r="AD140" s="456"/>
      <c r="AE140" s="456"/>
      <c r="AH140" s="455"/>
      <c r="AI140" s="456"/>
      <c r="AJ140" s="456"/>
      <c r="AM140" s="455"/>
      <c r="AN140" s="456"/>
      <c r="AO140" s="456"/>
      <c r="AR140" s="455"/>
      <c r="AS140" s="456"/>
      <c r="AT140" s="456"/>
      <c r="AW140" s="455"/>
      <c r="AX140" s="456"/>
      <c r="AY140" s="456"/>
    </row>
    <row r="141" spans="1:53" x14ac:dyDescent="0.2">
      <c r="A141" s="461">
        <f t="shared" si="2"/>
        <v>139</v>
      </c>
      <c r="B141" s="462">
        <v>681</v>
      </c>
      <c r="C141" s="457" t="s">
        <v>1609</v>
      </c>
      <c r="D141" s="455">
        <v>0</v>
      </c>
      <c r="E141" s="456"/>
      <c r="F141" s="456"/>
      <c r="G141" s="452">
        <v>37987</v>
      </c>
      <c r="H141" s="453">
        <v>42916</v>
      </c>
      <c r="I141" s="455">
        <v>0.01</v>
      </c>
      <c r="J141" s="456"/>
      <c r="K141" s="456"/>
      <c r="L141" s="452">
        <v>42917</v>
      </c>
      <c r="N141" s="455"/>
      <c r="O141" s="456"/>
      <c r="P141" s="456"/>
      <c r="S141" s="455"/>
      <c r="T141" s="456"/>
      <c r="U141" s="456"/>
      <c r="X141" s="455"/>
      <c r="Y141" s="456"/>
      <c r="Z141" s="456"/>
      <c r="AC141" s="455"/>
      <c r="AD141" s="456"/>
      <c r="AE141" s="456"/>
      <c r="AH141" s="455"/>
      <c r="AI141" s="456"/>
      <c r="AJ141" s="456"/>
      <c r="AM141" s="455"/>
      <c r="AN141" s="456"/>
      <c r="AO141" s="456"/>
      <c r="AR141" s="455"/>
      <c r="AS141" s="456"/>
      <c r="AT141" s="456"/>
      <c r="AW141" s="455"/>
      <c r="AX141" s="456"/>
      <c r="AY141" s="456"/>
    </row>
    <row r="142" spans="1:53" x14ac:dyDescent="0.2">
      <c r="A142" s="447">
        <f t="shared" si="2"/>
        <v>140</v>
      </c>
      <c r="B142" s="462">
        <v>394</v>
      </c>
      <c r="C142" s="457" t="s">
        <v>856</v>
      </c>
      <c r="D142" s="455">
        <v>0.02</v>
      </c>
      <c r="E142" s="456"/>
      <c r="F142" s="456"/>
      <c r="G142" s="452">
        <v>37987</v>
      </c>
      <c r="I142" s="455"/>
      <c r="J142" s="456"/>
      <c r="K142" s="456"/>
      <c r="N142" s="455"/>
      <c r="O142" s="456"/>
      <c r="P142" s="456"/>
      <c r="S142" s="455"/>
      <c r="T142" s="456"/>
      <c r="U142" s="456"/>
      <c r="X142" s="455"/>
      <c r="Y142" s="456"/>
      <c r="Z142" s="456"/>
      <c r="AC142" s="455"/>
      <c r="AD142" s="456"/>
      <c r="AE142" s="456"/>
      <c r="AH142" s="455"/>
      <c r="AI142" s="456"/>
      <c r="AJ142" s="456"/>
      <c r="AM142" s="455"/>
      <c r="AN142" s="456"/>
      <c r="AO142" s="456"/>
      <c r="AR142" s="455"/>
      <c r="AS142" s="456"/>
      <c r="AT142" s="456"/>
      <c r="AW142" s="455"/>
      <c r="AX142" s="456"/>
      <c r="AY142" s="456"/>
    </row>
    <row r="143" spans="1:53" x14ac:dyDescent="0.2">
      <c r="A143" s="447">
        <f t="shared" si="2"/>
        <v>141</v>
      </c>
      <c r="B143" s="462">
        <v>398</v>
      </c>
      <c r="C143" s="457" t="s">
        <v>1470</v>
      </c>
      <c r="D143" s="455">
        <v>1.4999999999999999E-2</v>
      </c>
      <c r="E143" s="456"/>
      <c r="F143" s="456"/>
      <c r="G143" s="452">
        <v>37987</v>
      </c>
      <c r="I143" s="455"/>
      <c r="J143" s="456"/>
      <c r="K143" s="456"/>
      <c r="N143" s="455"/>
      <c r="O143" s="456"/>
      <c r="P143" s="456"/>
      <c r="S143" s="455"/>
      <c r="T143" s="456"/>
      <c r="U143" s="456"/>
      <c r="X143" s="455"/>
      <c r="Y143" s="456"/>
      <c r="Z143" s="456"/>
      <c r="AC143" s="455"/>
      <c r="AD143" s="456"/>
      <c r="AE143" s="456"/>
      <c r="AH143" s="455"/>
      <c r="AI143" s="456"/>
      <c r="AJ143" s="456"/>
      <c r="AM143" s="455"/>
      <c r="AN143" s="456"/>
      <c r="AO143" s="456"/>
      <c r="AR143" s="455"/>
      <c r="AS143" s="456"/>
      <c r="AT143" s="456"/>
      <c r="AW143" s="455"/>
      <c r="AX143" s="456"/>
      <c r="AY143" s="456"/>
    </row>
    <row r="144" spans="1:53" x14ac:dyDescent="0.2">
      <c r="A144" s="447">
        <f t="shared" si="2"/>
        <v>142</v>
      </c>
      <c r="B144" s="462">
        <v>327</v>
      </c>
      <c r="C144" s="457" t="s">
        <v>1069</v>
      </c>
      <c r="D144" s="455">
        <v>0</v>
      </c>
      <c r="E144" s="456"/>
      <c r="F144" s="456"/>
      <c r="G144" s="452">
        <v>37987</v>
      </c>
      <c r="H144" s="453">
        <v>40908</v>
      </c>
      <c r="I144" s="455">
        <v>0.01</v>
      </c>
      <c r="J144" s="456"/>
      <c r="K144" s="456"/>
      <c r="L144" s="452">
        <v>40909</v>
      </c>
      <c r="N144" s="455"/>
      <c r="O144" s="456"/>
      <c r="P144" s="456"/>
      <c r="S144" s="455"/>
      <c r="T144" s="456"/>
      <c r="U144" s="456"/>
      <c r="X144" s="455"/>
      <c r="Y144" s="456"/>
      <c r="Z144" s="456"/>
      <c r="AC144" s="455"/>
      <c r="AD144" s="456"/>
      <c r="AE144" s="456"/>
      <c r="AH144" s="455"/>
      <c r="AI144" s="456"/>
      <c r="AJ144" s="456"/>
      <c r="AM144" s="455"/>
      <c r="AN144" s="456"/>
      <c r="AO144" s="456"/>
      <c r="AR144" s="455"/>
      <c r="AS144" s="456"/>
      <c r="AT144" s="456"/>
      <c r="AW144" s="455"/>
      <c r="AX144" s="456"/>
      <c r="AY144" s="456"/>
    </row>
    <row r="145" spans="1:53" x14ac:dyDescent="0.2">
      <c r="A145" s="447">
        <f t="shared" si="2"/>
        <v>143</v>
      </c>
      <c r="B145" s="462">
        <v>401</v>
      </c>
      <c r="C145" s="457" t="s">
        <v>858</v>
      </c>
      <c r="D145" s="455">
        <v>0.02</v>
      </c>
      <c r="E145" s="456"/>
      <c r="F145" s="456"/>
      <c r="G145" s="452">
        <v>37987</v>
      </c>
      <c r="H145" s="453">
        <v>43100</v>
      </c>
      <c r="I145" s="455">
        <v>2.2499999999999999E-2</v>
      </c>
      <c r="J145" s="456"/>
      <c r="K145" s="456"/>
      <c r="L145" s="452">
        <v>43101</v>
      </c>
      <c r="N145" s="455"/>
      <c r="O145" s="456"/>
      <c r="P145" s="456"/>
      <c r="S145" s="455"/>
      <c r="T145" s="456"/>
      <c r="U145" s="456"/>
      <c r="X145" s="455"/>
      <c r="Y145" s="456"/>
      <c r="Z145" s="456"/>
      <c r="AC145" s="455"/>
      <c r="AD145" s="456"/>
      <c r="AE145" s="456"/>
      <c r="AH145" s="455"/>
      <c r="AI145" s="456"/>
      <c r="AJ145" s="456"/>
      <c r="AM145" s="455"/>
      <c r="AN145" s="456"/>
      <c r="AO145" s="456"/>
      <c r="AR145" s="455"/>
      <c r="AS145" s="456"/>
      <c r="AT145" s="456"/>
      <c r="AW145" s="455"/>
      <c r="AX145" s="456"/>
      <c r="AY145" s="456"/>
    </row>
    <row r="146" spans="1:53" x14ac:dyDescent="0.2">
      <c r="A146" s="461">
        <f t="shared" si="2"/>
        <v>144</v>
      </c>
      <c r="B146" s="462">
        <v>443</v>
      </c>
      <c r="C146" s="457" t="s">
        <v>1610</v>
      </c>
      <c r="D146" s="455">
        <v>0</v>
      </c>
      <c r="E146" s="456"/>
      <c r="F146" s="456"/>
      <c r="G146" s="452">
        <v>37987</v>
      </c>
      <c r="H146" s="453">
        <v>38352</v>
      </c>
      <c r="I146" s="455">
        <v>1.4999999999999999E-2</v>
      </c>
      <c r="J146" s="456"/>
      <c r="K146" s="456"/>
      <c r="L146" s="452">
        <v>38353</v>
      </c>
      <c r="N146" s="455"/>
      <c r="O146" s="456"/>
      <c r="P146" s="456"/>
      <c r="S146" s="455"/>
      <c r="T146" s="456"/>
      <c r="U146" s="456"/>
      <c r="X146" s="455"/>
      <c r="Y146" s="456"/>
      <c r="Z146" s="456"/>
      <c r="AC146" s="455"/>
      <c r="AD146" s="456"/>
      <c r="AE146" s="456"/>
      <c r="AH146" s="455"/>
      <c r="AI146" s="456"/>
      <c r="AJ146" s="456"/>
      <c r="AM146" s="455"/>
      <c r="AN146" s="456"/>
      <c r="AO146" s="456"/>
      <c r="AR146" s="455"/>
      <c r="AS146" s="456"/>
      <c r="AT146" s="456"/>
      <c r="AW146" s="455"/>
      <c r="AX146" s="456"/>
      <c r="AY146" s="456"/>
    </row>
    <row r="147" spans="1:53" s="763" customFormat="1" x14ac:dyDescent="0.2">
      <c r="A147" s="756">
        <f t="shared" si="2"/>
        <v>145</v>
      </c>
      <c r="B147" s="777">
        <v>444</v>
      </c>
      <c r="C147" s="778" t="s">
        <v>1774</v>
      </c>
      <c r="D147" s="759">
        <v>0.01</v>
      </c>
      <c r="E147" s="760"/>
      <c r="F147" s="760"/>
      <c r="G147" s="761">
        <v>37987</v>
      </c>
      <c r="H147" s="762"/>
      <c r="I147" s="759"/>
      <c r="J147" s="760"/>
      <c r="K147" s="760"/>
      <c r="L147" s="761"/>
      <c r="M147" s="762"/>
      <c r="N147" s="759"/>
      <c r="O147" s="760"/>
      <c r="P147" s="760"/>
      <c r="Q147" s="761"/>
      <c r="R147" s="762"/>
      <c r="S147" s="759"/>
      <c r="T147" s="760"/>
      <c r="U147" s="760"/>
      <c r="V147" s="761"/>
      <c r="W147" s="762"/>
      <c r="X147" s="759"/>
      <c r="Y147" s="760"/>
      <c r="Z147" s="760"/>
      <c r="AA147" s="761"/>
      <c r="AB147" s="762"/>
      <c r="AC147" s="759"/>
      <c r="AD147" s="760"/>
      <c r="AE147" s="760"/>
      <c r="AF147" s="761"/>
      <c r="AG147" s="762"/>
      <c r="AH147" s="759"/>
      <c r="AI147" s="760"/>
      <c r="AJ147" s="760"/>
      <c r="AK147" s="761"/>
      <c r="AL147" s="762"/>
      <c r="AM147" s="759"/>
      <c r="AN147" s="760"/>
      <c r="AO147" s="760"/>
      <c r="AP147" s="761"/>
      <c r="AQ147" s="762"/>
      <c r="AR147" s="759"/>
      <c r="AS147" s="760"/>
      <c r="AT147" s="760"/>
      <c r="AU147" s="761"/>
      <c r="AV147" s="762"/>
      <c r="AW147" s="759"/>
      <c r="AX147" s="760"/>
      <c r="AY147" s="760"/>
      <c r="AZ147" s="761"/>
      <c r="BA147" s="762"/>
    </row>
    <row r="148" spans="1:53" x14ac:dyDescent="0.2">
      <c r="A148" s="461">
        <f t="shared" si="2"/>
        <v>146</v>
      </c>
      <c r="B148" s="462">
        <v>424</v>
      </c>
      <c r="C148" s="458" t="s">
        <v>859</v>
      </c>
      <c r="D148" s="459">
        <v>0.01</v>
      </c>
      <c r="E148" s="460"/>
      <c r="F148" s="460"/>
      <c r="G148" s="452">
        <v>37987</v>
      </c>
      <c r="H148" s="453">
        <v>42004</v>
      </c>
      <c r="I148" s="455">
        <v>1.4999999999999999E-2</v>
      </c>
      <c r="J148" s="456"/>
      <c r="K148" s="456"/>
      <c r="L148" s="452">
        <v>42005</v>
      </c>
      <c r="N148" s="455"/>
      <c r="O148" s="456"/>
      <c r="P148" s="456"/>
      <c r="S148" s="455"/>
      <c r="T148" s="456"/>
      <c r="U148" s="456"/>
      <c r="X148" s="455"/>
      <c r="Y148" s="456"/>
      <c r="Z148" s="456"/>
      <c r="AC148" s="455"/>
      <c r="AD148" s="456"/>
      <c r="AE148" s="456"/>
      <c r="AH148" s="455"/>
      <c r="AI148" s="456"/>
      <c r="AJ148" s="456"/>
      <c r="AM148" s="455"/>
      <c r="AN148" s="456"/>
      <c r="AO148" s="456"/>
      <c r="AR148" s="455"/>
      <c r="AS148" s="456"/>
      <c r="AT148" s="456"/>
      <c r="AW148" s="455"/>
      <c r="AX148" s="456"/>
      <c r="AY148" s="456"/>
    </row>
    <row r="149" spans="1:53" x14ac:dyDescent="0.2">
      <c r="A149" s="447">
        <f t="shared" si="2"/>
        <v>147</v>
      </c>
      <c r="B149" s="462">
        <v>427</v>
      </c>
      <c r="C149" s="458" t="s">
        <v>1311</v>
      </c>
      <c r="D149" s="459">
        <v>0.01</v>
      </c>
      <c r="E149" s="460"/>
      <c r="F149" s="460"/>
      <c r="G149" s="452">
        <v>37987</v>
      </c>
      <c r="I149" s="455"/>
      <c r="J149" s="456"/>
      <c r="K149" s="456"/>
      <c r="N149" s="455"/>
      <c r="O149" s="456"/>
      <c r="P149" s="456"/>
      <c r="S149" s="455"/>
      <c r="T149" s="456"/>
      <c r="U149" s="456"/>
      <c r="X149" s="455"/>
      <c r="Y149" s="456"/>
      <c r="Z149" s="456"/>
      <c r="AC149" s="455"/>
      <c r="AD149" s="456"/>
      <c r="AE149" s="456"/>
      <c r="AH149" s="455"/>
      <c r="AI149" s="456"/>
      <c r="AJ149" s="456"/>
      <c r="AM149" s="455"/>
      <c r="AN149" s="456"/>
      <c r="AO149" s="456"/>
      <c r="AR149" s="455"/>
      <c r="AS149" s="456"/>
      <c r="AT149" s="456"/>
      <c r="AW149" s="455"/>
      <c r="AX149" s="456"/>
      <c r="AY149" s="456"/>
    </row>
    <row r="150" spans="1:53" x14ac:dyDescent="0.2">
      <c r="A150" s="447">
        <f t="shared" si="2"/>
        <v>148</v>
      </c>
      <c r="B150" s="462">
        <v>426</v>
      </c>
      <c r="C150" s="457" t="s">
        <v>860</v>
      </c>
      <c r="D150" s="455">
        <v>2.1000000000000001E-2</v>
      </c>
      <c r="E150" s="456"/>
      <c r="F150" s="456"/>
      <c r="G150" s="452">
        <v>37987</v>
      </c>
      <c r="I150" s="455"/>
      <c r="J150" s="456"/>
      <c r="K150" s="456"/>
      <c r="N150" s="455"/>
      <c r="O150" s="456"/>
      <c r="P150" s="456"/>
      <c r="S150" s="455"/>
      <c r="T150" s="456"/>
      <c r="U150" s="456"/>
      <c r="X150" s="455"/>
      <c r="Y150" s="456"/>
      <c r="Z150" s="456"/>
      <c r="AC150" s="455"/>
      <c r="AD150" s="456"/>
      <c r="AE150" s="456"/>
      <c r="AH150" s="455"/>
      <c r="AI150" s="456"/>
      <c r="AJ150" s="456"/>
      <c r="AM150" s="455"/>
      <c r="AN150" s="456"/>
      <c r="AO150" s="456"/>
      <c r="AR150" s="455"/>
      <c r="AS150" s="456"/>
      <c r="AT150" s="456"/>
      <c r="AW150" s="455"/>
      <c r="AX150" s="456"/>
      <c r="AY150" s="456"/>
    </row>
    <row r="151" spans="1:53" x14ac:dyDescent="0.2">
      <c r="A151" s="461">
        <f t="shared" si="2"/>
        <v>149</v>
      </c>
      <c r="B151" s="462">
        <v>422</v>
      </c>
      <c r="C151" s="457" t="s">
        <v>1611</v>
      </c>
      <c r="D151" s="455">
        <v>0</v>
      </c>
      <c r="E151" s="456"/>
      <c r="F151" s="456"/>
      <c r="G151" s="452">
        <v>37987</v>
      </c>
      <c r="H151" s="453">
        <v>43100</v>
      </c>
      <c r="I151" s="455">
        <v>0.01</v>
      </c>
      <c r="J151" s="456"/>
      <c r="K151" s="456"/>
      <c r="L151" s="452">
        <v>43101</v>
      </c>
      <c r="N151" s="455"/>
      <c r="O151" s="456"/>
      <c r="P151" s="456"/>
      <c r="S151" s="455"/>
      <c r="T151" s="456"/>
      <c r="U151" s="456"/>
      <c r="X151" s="455"/>
      <c r="Y151" s="456"/>
      <c r="Z151" s="456"/>
      <c r="AC151" s="455"/>
      <c r="AD151" s="456"/>
      <c r="AE151" s="456"/>
      <c r="AH151" s="455"/>
      <c r="AI151" s="456"/>
      <c r="AJ151" s="456"/>
      <c r="AM151" s="455"/>
      <c r="AN151" s="456"/>
      <c r="AO151" s="456"/>
      <c r="AR151" s="455"/>
      <c r="AS151" s="456"/>
      <c r="AT151" s="456"/>
      <c r="AW151" s="455"/>
      <c r="AX151" s="456"/>
      <c r="AY151" s="456"/>
    </row>
    <row r="152" spans="1:53" x14ac:dyDescent="0.2">
      <c r="A152" s="447">
        <f t="shared" si="2"/>
        <v>150</v>
      </c>
      <c r="B152" s="462">
        <v>436</v>
      </c>
      <c r="C152" s="457" t="s">
        <v>1180</v>
      </c>
      <c r="D152" s="455">
        <v>0.01</v>
      </c>
      <c r="E152" s="456"/>
      <c r="F152" s="456"/>
      <c r="G152" s="452">
        <v>37987</v>
      </c>
      <c r="I152" s="455"/>
      <c r="J152" s="456"/>
      <c r="K152" s="456"/>
      <c r="N152" s="455"/>
      <c r="O152" s="456"/>
      <c r="P152" s="456"/>
      <c r="S152" s="455"/>
      <c r="T152" s="456"/>
      <c r="U152" s="456"/>
      <c r="X152" s="455"/>
      <c r="Y152" s="456"/>
      <c r="Z152" s="456"/>
      <c r="AC152" s="455"/>
      <c r="AD152" s="456"/>
      <c r="AE152" s="456"/>
      <c r="AH152" s="455"/>
      <c r="AI152" s="456"/>
      <c r="AJ152" s="456"/>
      <c r="AM152" s="455"/>
      <c r="AN152" s="456"/>
      <c r="AO152" s="456"/>
      <c r="AR152" s="455"/>
      <c r="AS152" s="456"/>
      <c r="AT152" s="456"/>
      <c r="AW152" s="455"/>
      <c r="AX152" s="456"/>
      <c r="AY152" s="456"/>
    </row>
    <row r="153" spans="1:53" x14ac:dyDescent="0.2">
      <c r="A153" s="447">
        <f t="shared" si="2"/>
        <v>151</v>
      </c>
      <c r="B153" s="462">
        <v>445</v>
      </c>
      <c r="C153" s="458" t="s">
        <v>1497</v>
      </c>
      <c r="D153" s="455">
        <v>0</v>
      </c>
      <c r="E153" s="456"/>
      <c r="F153" s="456"/>
      <c r="G153" s="452">
        <v>37987</v>
      </c>
      <c r="H153" s="453">
        <v>38352</v>
      </c>
      <c r="I153" s="455">
        <v>1.4999999999999999E-2</v>
      </c>
      <c r="J153" s="456"/>
      <c r="K153" s="456"/>
      <c r="L153" s="452">
        <v>38353</v>
      </c>
      <c r="M153" s="453">
        <v>40543</v>
      </c>
      <c r="N153" s="455">
        <v>0.02</v>
      </c>
      <c r="O153" s="456"/>
      <c r="P153" s="456"/>
      <c r="Q153" s="452">
        <v>40544</v>
      </c>
      <c r="S153" s="455"/>
      <c r="T153" s="456"/>
      <c r="U153" s="456"/>
      <c r="X153" s="455"/>
      <c r="Y153" s="456"/>
      <c r="Z153" s="456"/>
      <c r="AC153" s="455"/>
      <c r="AD153" s="456"/>
      <c r="AE153" s="456"/>
      <c r="AH153" s="455"/>
      <c r="AI153" s="456"/>
      <c r="AJ153" s="456"/>
      <c r="AM153" s="455"/>
      <c r="AN153" s="456"/>
      <c r="AO153" s="456"/>
      <c r="AR153" s="455"/>
      <c r="AS153" s="456"/>
      <c r="AT153" s="456"/>
      <c r="AW153" s="455"/>
      <c r="AX153" s="456"/>
      <c r="AY153" s="456"/>
    </row>
    <row r="154" spans="1:53" x14ac:dyDescent="0.2">
      <c r="A154" s="447">
        <f t="shared" si="2"/>
        <v>152</v>
      </c>
      <c r="B154" s="462">
        <v>440</v>
      </c>
      <c r="C154" s="458" t="s">
        <v>861</v>
      </c>
      <c r="D154" s="455">
        <v>1.4999999999999999E-2</v>
      </c>
      <c r="E154" s="456"/>
      <c r="F154" s="456"/>
      <c r="G154" s="452">
        <v>37987</v>
      </c>
      <c r="H154" s="453">
        <v>42004</v>
      </c>
      <c r="I154" s="455">
        <v>0.02</v>
      </c>
      <c r="J154" s="456"/>
      <c r="K154" s="456"/>
      <c r="L154" s="452">
        <v>42005</v>
      </c>
      <c r="N154" s="455"/>
      <c r="O154" s="456"/>
      <c r="P154" s="456"/>
      <c r="S154" s="455"/>
      <c r="T154" s="456"/>
      <c r="U154" s="456"/>
      <c r="X154" s="455"/>
      <c r="Y154" s="456"/>
      <c r="Z154" s="456"/>
      <c r="AC154" s="455"/>
      <c r="AD154" s="456"/>
      <c r="AE154" s="456"/>
      <c r="AH154" s="455"/>
      <c r="AI154" s="456"/>
      <c r="AJ154" s="456"/>
      <c r="AM154" s="455"/>
      <c r="AN154" s="456"/>
      <c r="AO154" s="456"/>
      <c r="AR154" s="455"/>
      <c r="AS154" s="456"/>
      <c r="AT154" s="456"/>
      <c r="AW154" s="455"/>
      <c r="AX154" s="456"/>
      <c r="AY154" s="456"/>
    </row>
    <row r="155" spans="1:53" x14ac:dyDescent="0.2">
      <c r="A155" s="447">
        <f t="shared" si="2"/>
        <v>153</v>
      </c>
      <c r="B155" s="462">
        <v>689</v>
      </c>
      <c r="C155" s="458" t="s">
        <v>1580</v>
      </c>
      <c r="D155" s="455">
        <v>0</v>
      </c>
      <c r="E155" s="456"/>
      <c r="F155" s="456"/>
      <c r="G155" s="452">
        <v>37987</v>
      </c>
      <c r="H155" s="453">
        <v>42674</v>
      </c>
      <c r="I155" s="459">
        <v>0.01</v>
      </c>
      <c r="J155" s="456"/>
      <c r="K155" s="456"/>
      <c r="L155" s="452">
        <v>42675</v>
      </c>
      <c r="N155" s="455"/>
      <c r="O155" s="456"/>
      <c r="P155" s="456"/>
      <c r="S155" s="455"/>
      <c r="T155" s="456"/>
      <c r="U155" s="456"/>
      <c r="X155" s="455"/>
      <c r="Y155" s="456"/>
      <c r="Z155" s="456"/>
      <c r="AC155" s="455"/>
      <c r="AD155" s="456"/>
      <c r="AE155" s="456"/>
      <c r="AH155" s="455"/>
      <c r="AI155" s="456"/>
      <c r="AJ155" s="456"/>
      <c r="AM155" s="455"/>
      <c r="AN155" s="456"/>
      <c r="AO155" s="456"/>
      <c r="AR155" s="455"/>
      <c r="AS155" s="456"/>
      <c r="AT155" s="456"/>
      <c r="AW155" s="455"/>
      <c r="AX155" s="456"/>
      <c r="AY155" s="456"/>
    </row>
    <row r="156" spans="1:53" x14ac:dyDescent="0.2">
      <c r="A156" s="447">
        <f t="shared" si="2"/>
        <v>154</v>
      </c>
      <c r="B156" s="462">
        <v>450</v>
      </c>
      <c r="C156" s="458" t="s">
        <v>862</v>
      </c>
      <c r="D156" s="455">
        <v>0.02</v>
      </c>
      <c r="E156" s="456"/>
      <c r="F156" s="456"/>
      <c r="G156" s="452">
        <v>37987</v>
      </c>
      <c r="H156" s="453">
        <v>40543</v>
      </c>
      <c r="I156" s="455">
        <v>2.2499999999999999E-2</v>
      </c>
      <c r="J156" s="456"/>
      <c r="K156" s="456"/>
      <c r="L156" s="452">
        <v>40544</v>
      </c>
      <c r="M156" s="453">
        <v>41639</v>
      </c>
      <c r="N156" s="455">
        <v>0.02</v>
      </c>
      <c r="O156" s="456"/>
      <c r="P156" s="456"/>
      <c r="Q156" s="452">
        <v>41640</v>
      </c>
      <c r="R156" s="453">
        <v>42916</v>
      </c>
      <c r="S156" s="455">
        <v>2.2499999999999999E-2</v>
      </c>
      <c r="T156" s="456"/>
      <c r="U156" s="456"/>
      <c r="V156" s="452">
        <v>42917</v>
      </c>
      <c r="X156" s="455"/>
      <c r="Y156" s="456"/>
      <c r="Z156" s="456"/>
      <c r="AC156" s="455"/>
      <c r="AD156" s="456"/>
      <c r="AE156" s="456"/>
      <c r="AH156" s="455"/>
      <c r="AI156" s="456"/>
      <c r="AJ156" s="456"/>
      <c r="AM156" s="455"/>
      <c r="AN156" s="456"/>
      <c r="AO156" s="456"/>
      <c r="AR156" s="455"/>
      <c r="AS156" s="456"/>
      <c r="AT156" s="456"/>
      <c r="AW156" s="455"/>
      <c r="AX156" s="456"/>
      <c r="AY156" s="456"/>
    </row>
    <row r="157" spans="1:53" x14ac:dyDescent="0.2">
      <c r="A157" s="447">
        <f t="shared" si="2"/>
        <v>155</v>
      </c>
      <c r="B157" s="462">
        <v>451</v>
      </c>
      <c r="C157" s="458" t="s">
        <v>1477</v>
      </c>
      <c r="D157" s="459">
        <v>0.02</v>
      </c>
      <c r="E157" s="460"/>
      <c r="F157" s="460"/>
      <c r="G157" s="452">
        <v>37987</v>
      </c>
      <c r="H157" s="453">
        <v>40543</v>
      </c>
      <c r="I157" s="455">
        <v>2.2499999999999999E-2</v>
      </c>
      <c r="J157" s="456"/>
      <c r="K157" s="456"/>
      <c r="L157" s="452">
        <v>40544</v>
      </c>
      <c r="M157" s="453">
        <v>41639</v>
      </c>
      <c r="N157" s="455">
        <v>0.02</v>
      </c>
      <c r="O157" s="456"/>
      <c r="P157" s="456"/>
      <c r="Q157" s="452">
        <v>41640</v>
      </c>
      <c r="R157" s="453">
        <v>42916</v>
      </c>
      <c r="S157" s="455">
        <v>2.2499999999999999E-2</v>
      </c>
      <c r="T157" s="456"/>
      <c r="U157" s="456"/>
      <c r="V157" s="452">
        <v>42917</v>
      </c>
      <c r="X157" s="455"/>
      <c r="Y157" s="456"/>
      <c r="Z157" s="456"/>
      <c r="AC157" s="455"/>
      <c r="AD157" s="456"/>
      <c r="AE157" s="456"/>
      <c r="AH157" s="455"/>
      <c r="AI157" s="456"/>
      <c r="AJ157" s="456"/>
      <c r="AM157" s="455"/>
      <c r="AN157" s="456"/>
      <c r="AO157" s="456"/>
      <c r="AR157" s="455"/>
      <c r="AS157" s="456"/>
      <c r="AT157" s="456"/>
      <c r="AW157" s="455"/>
      <c r="AX157" s="456"/>
      <c r="AY157" s="456"/>
    </row>
    <row r="158" spans="1:53" x14ac:dyDescent="0.2">
      <c r="A158" s="447">
        <f t="shared" si="2"/>
        <v>156</v>
      </c>
      <c r="B158" s="462">
        <v>452</v>
      </c>
      <c r="C158" s="458" t="s">
        <v>1612</v>
      </c>
      <c r="D158" s="455">
        <v>0.01</v>
      </c>
      <c r="E158" s="456"/>
      <c r="F158" s="456"/>
      <c r="G158" s="452">
        <v>37987</v>
      </c>
      <c r="I158" s="455"/>
      <c r="J158" s="456"/>
      <c r="K158" s="456"/>
      <c r="N158" s="455"/>
      <c r="O158" s="456"/>
      <c r="P158" s="456"/>
      <c r="S158" s="455"/>
      <c r="T158" s="456"/>
      <c r="U158" s="456"/>
      <c r="X158" s="455"/>
      <c r="Y158" s="456"/>
      <c r="Z158" s="456"/>
      <c r="AC158" s="455"/>
      <c r="AD158" s="456"/>
      <c r="AE158" s="456"/>
      <c r="AH158" s="455"/>
      <c r="AI158" s="456"/>
      <c r="AJ158" s="456"/>
      <c r="AM158" s="455"/>
      <c r="AN158" s="456"/>
      <c r="AO158" s="456"/>
      <c r="AR158" s="455"/>
      <c r="AS158" s="456"/>
      <c r="AT158" s="456"/>
      <c r="AW158" s="455"/>
      <c r="AX158" s="456"/>
      <c r="AY158" s="456"/>
    </row>
    <row r="159" spans="1:53" x14ac:dyDescent="0.2">
      <c r="A159" s="447">
        <f t="shared" si="2"/>
        <v>157</v>
      </c>
      <c r="B159" s="462">
        <v>454</v>
      </c>
      <c r="C159" s="457" t="s">
        <v>863</v>
      </c>
      <c r="D159" s="455">
        <v>0.01</v>
      </c>
      <c r="E159" s="456"/>
      <c r="F159" s="456"/>
      <c r="G159" s="452">
        <v>37987</v>
      </c>
      <c r="I159" s="455"/>
      <c r="J159" s="456"/>
      <c r="K159" s="456"/>
      <c r="N159" s="455"/>
      <c r="O159" s="456"/>
      <c r="P159" s="456"/>
      <c r="S159" s="455"/>
      <c r="T159" s="456"/>
      <c r="U159" s="456"/>
      <c r="X159" s="455"/>
      <c r="Y159" s="456"/>
      <c r="Z159" s="456"/>
      <c r="AC159" s="455"/>
      <c r="AD159" s="456"/>
      <c r="AE159" s="456"/>
      <c r="AH159" s="455"/>
      <c r="AI159" s="456"/>
      <c r="AJ159" s="456"/>
      <c r="AM159" s="455"/>
      <c r="AN159" s="456"/>
      <c r="AO159" s="456"/>
      <c r="AR159" s="455"/>
      <c r="AS159" s="456"/>
      <c r="AT159" s="456"/>
      <c r="AW159" s="455"/>
      <c r="AX159" s="456"/>
      <c r="AY159" s="456"/>
    </row>
    <row r="160" spans="1:53" s="763" customFormat="1" x14ac:dyDescent="0.2">
      <c r="A160" s="756">
        <f t="shared" si="2"/>
        <v>158</v>
      </c>
      <c r="B160" s="777">
        <v>455</v>
      </c>
      <c r="C160" s="778" t="s">
        <v>1663</v>
      </c>
      <c r="D160" s="759">
        <v>0.01</v>
      </c>
      <c r="E160" s="760"/>
      <c r="F160" s="760"/>
      <c r="G160" s="761">
        <v>37987</v>
      </c>
      <c r="H160" s="762"/>
      <c r="I160" s="759"/>
      <c r="J160" s="760"/>
      <c r="K160" s="760"/>
      <c r="L160" s="761"/>
      <c r="M160" s="762"/>
      <c r="N160" s="759"/>
      <c r="O160" s="760"/>
      <c r="P160" s="760"/>
      <c r="Q160" s="761"/>
      <c r="R160" s="762"/>
      <c r="S160" s="759"/>
      <c r="T160" s="760"/>
      <c r="U160" s="760"/>
      <c r="V160" s="761"/>
      <c r="W160" s="762"/>
      <c r="X160" s="759"/>
      <c r="Y160" s="760"/>
      <c r="Z160" s="760"/>
      <c r="AA160" s="761"/>
      <c r="AB160" s="762"/>
      <c r="AC160" s="759"/>
      <c r="AD160" s="760"/>
      <c r="AE160" s="760"/>
      <c r="AF160" s="761"/>
      <c r="AG160" s="762"/>
      <c r="AH160" s="759"/>
      <c r="AI160" s="760"/>
      <c r="AJ160" s="760"/>
      <c r="AK160" s="761"/>
      <c r="AL160" s="762"/>
      <c r="AM160" s="759"/>
      <c r="AN160" s="760"/>
      <c r="AO160" s="760"/>
      <c r="AP160" s="761"/>
      <c r="AQ160" s="762"/>
      <c r="AR160" s="759"/>
      <c r="AS160" s="760"/>
      <c r="AT160" s="760"/>
      <c r="AU160" s="761"/>
      <c r="AV160" s="762"/>
      <c r="AW160" s="759"/>
      <c r="AX160" s="760"/>
      <c r="AY160" s="760"/>
      <c r="AZ160" s="761"/>
      <c r="BA160" s="762"/>
    </row>
    <row r="161" spans="1:51" x14ac:dyDescent="0.2">
      <c r="A161" s="447">
        <f t="shared" si="2"/>
        <v>159</v>
      </c>
      <c r="B161" s="462">
        <v>456</v>
      </c>
      <c r="C161" s="457" t="s">
        <v>1471</v>
      </c>
      <c r="D161" s="455">
        <v>5.0000000000000001E-3</v>
      </c>
      <c r="E161" s="456"/>
      <c r="F161" s="456"/>
      <c r="G161" s="452">
        <v>37987</v>
      </c>
      <c r="H161" s="453">
        <v>39082</v>
      </c>
      <c r="I161" s="455">
        <v>0.01</v>
      </c>
      <c r="J161" s="456"/>
      <c r="K161" s="456"/>
      <c r="L161" s="452">
        <v>39083</v>
      </c>
      <c r="N161" s="455"/>
      <c r="O161" s="456"/>
      <c r="P161" s="456"/>
      <c r="S161" s="455"/>
      <c r="T161" s="456"/>
      <c r="U161" s="456"/>
      <c r="X161" s="455"/>
      <c r="Y161" s="456"/>
      <c r="Z161" s="456"/>
      <c r="AC161" s="455"/>
      <c r="AD161" s="456"/>
      <c r="AE161" s="456"/>
      <c r="AH161" s="455"/>
      <c r="AI161" s="456"/>
      <c r="AJ161" s="456"/>
      <c r="AM161" s="455"/>
      <c r="AN161" s="456"/>
      <c r="AO161" s="456"/>
      <c r="AR161" s="455"/>
      <c r="AS161" s="456"/>
      <c r="AT161" s="456"/>
      <c r="AW161" s="455"/>
      <c r="AX161" s="456"/>
      <c r="AY161" s="456"/>
    </row>
    <row r="162" spans="1:51" x14ac:dyDescent="0.2">
      <c r="A162" s="447">
        <f t="shared" si="2"/>
        <v>160</v>
      </c>
      <c r="B162" s="462">
        <v>460</v>
      </c>
      <c r="C162" s="457" t="s">
        <v>864</v>
      </c>
      <c r="D162" s="455">
        <v>0.02</v>
      </c>
      <c r="E162" s="456"/>
      <c r="F162" s="456"/>
      <c r="G162" s="452">
        <v>37987</v>
      </c>
      <c r="H162" s="453">
        <v>39141</v>
      </c>
      <c r="I162" s="455">
        <v>2.5000000000000001E-2</v>
      </c>
      <c r="J162" s="456"/>
      <c r="K162" s="456"/>
      <c r="L162" s="452">
        <v>39142</v>
      </c>
      <c r="N162" s="455"/>
      <c r="O162" s="456"/>
      <c r="P162" s="456"/>
      <c r="S162" s="455"/>
      <c r="T162" s="456"/>
      <c r="U162" s="456"/>
      <c r="X162" s="455"/>
      <c r="Y162" s="456"/>
      <c r="Z162" s="456"/>
      <c r="AC162" s="455"/>
      <c r="AD162" s="456"/>
      <c r="AE162" s="456"/>
      <c r="AH162" s="455"/>
      <c r="AI162" s="456"/>
      <c r="AJ162" s="456"/>
      <c r="AM162" s="455"/>
      <c r="AN162" s="456"/>
      <c r="AO162" s="456"/>
      <c r="AR162" s="455"/>
      <c r="AS162" s="456"/>
      <c r="AT162" s="456"/>
      <c r="AW162" s="455"/>
      <c r="AX162" s="456"/>
      <c r="AY162" s="456"/>
    </row>
    <row r="163" spans="1:51" x14ac:dyDescent="0.2">
      <c r="A163" s="447">
        <f t="shared" si="2"/>
        <v>161</v>
      </c>
      <c r="B163" s="462">
        <v>690</v>
      </c>
      <c r="C163" s="458" t="s">
        <v>1581</v>
      </c>
      <c r="D163" s="455">
        <v>0</v>
      </c>
      <c r="E163" s="456"/>
      <c r="F163" s="456"/>
      <c r="G163" s="452">
        <v>37987</v>
      </c>
      <c r="H163" s="453">
        <v>42704</v>
      </c>
      <c r="I163" s="459">
        <v>0.01</v>
      </c>
      <c r="J163" s="456"/>
      <c r="K163" s="456"/>
      <c r="L163" s="452">
        <v>42705</v>
      </c>
      <c r="N163" s="455"/>
      <c r="O163" s="456"/>
      <c r="P163" s="456"/>
      <c r="S163" s="455"/>
      <c r="T163" s="456"/>
      <c r="U163" s="456"/>
      <c r="X163" s="455"/>
      <c r="Y163" s="456"/>
      <c r="Z163" s="456"/>
      <c r="AC163" s="455"/>
      <c r="AD163" s="456"/>
      <c r="AE163" s="456"/>
      <c r="AH163" s="455"/>
      <c r="AI163" s="456"/>
      <c r="AJ163" s="456"/>
      <c r="AM163" s="455"/>
      <c r="AN163" s="456"/>
      <c r="AO163" s="456"/>
      <c r="AR163" s="455"/>
      <c r="AS163" s="456"/>
      <c r="AT163" s="456"/>
      <c r="AW163" s="455"/>
      <c r="AX163" s="456"/>
      <c r="AY163" s="456"/>
    </row>
    <row r="164" spans="1:51" x14ac:dyDescent="0.2">
      <c r="A164" s="447">
        <f t="shared" si="2"/>
        <v>162</v>
      </c>
      <c r="B164" s="462">
        <v>466</v>
      </c>
      <c r="C164" s="458" t="s">
        <v>865</v>
      </c>
      <c r="D164" s="455">
        <v>7.4999999999999997E-3</v>
      </c>
      <c r="E164" s="456"/>
      <c r="F164" s="456"/>
      <c r="G164" s="452">
        <v>37987</v>
      </c>
      <c r="H164" s="453">
        <v>41790</v>
      </c>
      <c r="I164" s="455">
        <v>0.01</v>
      </c>
      <c r="J164" s="456"/>
      <c r="K164" s="456"/>
      <c r="L164" s="452">
        <v>41791</v>
      </c>
      <c r="N164" s="455"/>
      <c r="O164" s="456"/>
      <c r="P164" s="456"/>
      <c r="S164" s="455"/>
      <c r="T164" s="456"/>
      <c r="U164" s="456"/>
      <c r="X164" s="455"/>
      <c r="Y164" s="456"/>
      <c r="Z164" s="456"/>
      <c r="AC164" s="455"/>
      <c r="AD164" s="456"/>
      <c r="AE164" s="456"/>
      <c r="AH164" s="455"/>
      <c r="AI164" s="456"/>
      <c r="AJ164" s="456"/>
      <c r="AM164" s="455"/>
      <c r="AN164" s="456"/>
      <c r="AO164" s="456"/>
      <c r="AR164" s="455"/>
      <c r="AS164" s="456"/>
      <c r="AT164" s="456"/>
      <c r="AW164" s="455"/>
      <c r="AX164" s="456"/>
      <c r="AY164" s="456"/>
    </row>
    <row r="165" spans="1:51" x14ac:dyDescent="0.2">
      <c r="A165" s="447">
        <f t="shared" si="2"/>
        <v>163</v>
      </c>
      <c r="B165" s="462">
        <v>480</v>
      </c>
      <c r="C165" s="457" t="s">
        <v>866</v>
      </c>
      <c r="D165" s="455">
        <v>0.01</v>
      </c>
      <c r="E165" s="456"/>
      <c r="F165" s="456"/>
      <c r="G165" s="452">
        <v>37987</v>
      </c>
      <c r="I165" s="455"/>
      <c r="J165" s="456"/>
      <c r="K165" s="456"/>
      <c r="N165" s="455"/>
      <c r="O165" s="456"/>
      <c r="P165" s="456"/>
      <c r="S165" s="455"/>
      <c r="T165" s="456"/>
      <c r="U165" s="456"/>
      <c r="X165" s="455"/>
      <c r="Y165" s="456"/>
      <c r="Z165" s="456"/>
      <c r="AC165" s="455"/>
      <c r="AD165" s="456"/>
      <c r="AE165" s="456"/>
      <c r="AH165" s="455"/>
      <c r="AI165" s="456"/>
      <c r="AJ165" s="456"/>
      <c r="AM165" s="455"/>
      <c r="AN165" s="456"/>
      <c r="AO165" s="456"/>
      <c r="AR165" s="455"/>
      <c r="AS165" s="456"/>
      <c r="AT165" s="456"/>
      <c r="AW165" s="455"/>
      <c r="AX165" s="456"/>
      <c r="AY165" s="456"/>
    </row>
    <row r="166" spans="1:51" x14ac:dyDescent="0.2">
      <c r="A166" s="447">
        <f t="shared" si="2"/>
        <v>164</v>
      </c>
      <c r="B166" s="462">
        <v>485</v>
      </c>
      <c r="C166" s="457" t="s">
        <v>867</v>
      </c>
      <c r="D166" s="455">
        <v>1.4999999999999999E-2</v>
      </c>
      <c r="E166" s="456"/>
      <c r="F166" s="456"/>
      <c r="G166" s="452">
        <v>37987</v>
      </c>
      <c r="H166" s="453">
        <v>40359</v>
      </c>
      <c r="I166" s="455">
        <v>0.02</v>
      </c>
      <c r="J166" s="456"/>
      <c r="K166" s="456"/>
      <c r="L166" s="452">
        <v>40360</v>
      </c>
      <c r="N166" s="455"/>
      <c r="O166" s="456"/>
      <c r="P166" s="456"/>
      <c r="S166" s="455"/>
      <c r="T166" s="456"/>
      <c r="U166" s="456"/>
      <c r="X166" s="455"/>
      <c r="Y166" s="456"/>
      <c r="Z166" s="456"/>
      <c r="AC166" s="455"/>
      <c r="AD166" s="456"/>
      <c r="AE166" s="456"/>
      <c r="AH166" s="455"/>
      <c r="AI166" s="456"/>
      <c r="AJ166" s="456"/>
      <c r="AM166" s="455"/>
      <c r="AN166" s="456"/>
      <c r="AO166" s="456"/>
      <c r="AR166" s="455"/>
      <c r="AS166" s="456"/>
      <c r="AT166" s="456"/>
      <c r="AW166" s="455"/>
      <c r="AX166" s="456"/>
      <c r="AY166" s="456"/>
    </row>
    <row r="167" spans="1:51" x14ac:dyDescent="0.2">
      <c r="A167" s="447">
        <f t="shared" ref="A167:A172" si="3">+A166+1</f>
        <v>165</v>
      </c>
      <c r="B167" s="462">
        <v>475</v>
      </c>
      <c r="C167" s="457" t="s">
        <v>1368</v>
      </c>
      <c r="D167" s="455">
        <v>0.01</v>
      </c>
      <c r="E167" s="456"/>
      <c r="F167" s="456"/>
      <c r="G167" s="452">
        <v>37987</v>
      </c>
      <c r="I167" s="455"/>
      <c r="J167" s="456"/>
      <c r="K167" s="456"/>
      <c r="N167" s="455"/>
      <c r="O167" s="456"/>
      <c r="P167" s="456"/>
      <c r="S167" s="455"/>
      <c r="T167" s="456"/>
      <c r="U167" s="456"/>
      <c r="X167" s="455"/>
      <c r="Y167" s="456"/>
      <c r="Z167" s="456"/>
      <c r="AC167" s="455"/>
      <c r="AD167" s="456"/>
      <c r="AE167" s="456"/>
      <c r="AH167" s="455"/>
      <c r="AI167" s="456"/>
      <c r="AJ167" s="456"/>
      <c r="AM167" s="455"/>
      <c r="AN167" s="456"/>
      <c r="AO167" s="456"/>
      <c r="AR167" s="455"/>
      <c r="AS167" s="456"/>
      <c r="AT167" s="456"/>
      <c r="AW167" s="455"/>
      <c r="AX167" s="456"/>
      <c r="AY167" s="456"/>
    </row>
    <row r="168" spans="1:51" x14ac:dyDescent="0.2">
      <c r="A168" s="447">
        <f t="shared" si="3"/>
        <v>166</v>
      </c>
      <c r="B168" s="462">
        <v>478</v>
      </c>
      <c r="C168" s="458" t="s">
        <v>496</v>
      </c>
      <c r="D168" s="455">
        <v>0.02</v>
      </c>
      <c r="E168" s="456"/>
      <c r="F168" s="456"/>
      <c r="G168" s="452">
        <v>37987</v>
      </c>
      <c r="I168" s="455"/>
      <c r="J168" s="456"/>
      <c r="K168" s="456"/>
      <c r="N168" s="455"/>
      <c r="O168" s="456"/>
      <c r="P168" s="456"/>
      <c r="S168" s="455"/>
      <c r="T168" s="456"/>
      <c r="U168" s="456"/>
      <c r="X168" s="455"/>
      <c r="Y168" s="456"/>
      <c r="Z168" s="456"/>
      <c r="AC168" s="455"/>
      <c r="AD168" s="456"/>
      <c r="AE168" s="456"/>
      <c r="AH168" s="455"/>
      <c r="AI168" s="456"/>
      <c r="AJ168" s="456"/>
      <c r="AM168" s="455"/>
      <c r="AN168" s="456"/>
      <c r="AO168" s="456"/>
      <c r="AR168" s="455"/>
      <c r="AS168" s="456"/>
      <c r="AT168" s="456"/>
      <c r="AW168" s="455"/>
      <c r="AX168" s="456"/>
      <c r="AY168" s="456"/>
    </row>
    <row r="169" spans="1:51" x14ac:dyDescent="0.2">
      <c r="A169" s="447">
        <f t="shared" si="3"/>
        <v>167</v>
      </c>
      <c r="B169" s="462">
        <v>486</v>
      </c>
      <c r="C169" s="457" t="s">
        <v>868</v>
      </c>
      <c r="D169" s="455">
        <v>0.01</v>
      </c>
      <c r="E169" s="456"/>
      <c r="F169" s="456"/>
      <c r="G169" s="452">
        <v>37987</v>
      </c>
      <c r="I169" s="455"/>
      <c r="J169" s="456"/>
      <c r="K169" s="456"/>
      <c r="N169" s="455"/>
      <c r="O169" s="456"/>
      <c r="P169" s="456"/>
      <c r="S169" s="455"/>
      <c r="T169" s="456"/>
      <c r="U169" s="456"/>
      <c r="X169" s="455"/>
      <c r="Y169" s="456"/>
      <c r="Z169" s="456"/>
      <c r="AC169" s="455"/>
      <c r="AD169" s="456"/>
      <c r="AE169" s="456"/>
      <c r="AH169" s="455"/>
      <c r="AI169" s="456"/>
      <c r="AJ169" s="456"/>
      <c r="AM169" s="455"/>
      <c r="AN169" s="456"/>
      <c r="AO169" s="456"/>
      <c r="AR169" s="455"/>
      <c r="AS169" s="456"/>
      <c r="AT169" s="456"/>
      <c r="AW169" s="455"/>
      <c r="AX169" s="456"/>
      <c r="AY169" s="456"/>
    </row>
    <row r="170" spans="1:51" x14ac:dyDescent="0.2">
      <c r="A170" s="461">
        <f t="shared" si="3"/>
        <v>168</v>
      </c>
      <c r="B170" s="462">
        <v>487</v>
      </c>
      <c r="C170" s="457" t="s">
        <v>1613</v>
      </c>
      <c r="D170" s="455">
        <v>1.2500000000000001E-2</v>
      </c>
      <c r="E170" s="456"/>
      <c r="F170" s="456"/>
      <c r="G170" s="452">
        <v>37987</v>
      </c>
      <c r="I170" s="455"/>
      <c r="J170" s="456"/>
      <c r="K170" s="456"/>
      <c r="N170" s="455"/>
      <c r="O170" s="456"/>
      <c r="P170" s="456"/>
      <c r="S170" s="455"/>
      <c r="T170" s="456"/>
      <c r="U170" s="456"/>
      <c r="X170" s="455"/>
      <c r="Y170" s="456"/>
      <c r="Z170" s="456"/>
      <c r="AC170" s="455"/>
      <c r="AD170" s="456"/>
      <c r="AE170" s="456"/>
      <c r="AH170" s="455"/>
      <c r="AI170" s="456"/>
      <c r="AJ170" s="456"/>
      <c r="AM170" s="455"/>
      <c r="AN170" s="456"/>
      <c r="AO170" s="456"/>
      <c r="AR170" s="455"/>
      <c r="AS170" s="456"/>
      <c r="AT170" s="456"/>
      <c r="AW170" s="455"/>
      <c r="AX170" s="456"/>
      <c r="AY170" s="456"/>
    </row>
    <row r="171" spans="1:51" x14ac:dyDescent="0.2">
      <c r="A171" s="461">
        <f t="shared" si="3"/>
        <v>169</v>
      </c>
      <c r="B171" s="462">
        <v>149</v>
      </c>
      <c r="C171" s="457" t="s">
        <v>1614</v>
      </c>
      <c r="D171" s="455">
        <v>1.2500000000000001E-2</v>
      </c>
      <c r="E171" s="456"/>
      <c r="F171" s="456"/>
      <c r="G171" s="452">
        <v>37987</v>
      </c>
      <c r="I171" s="455"/>
      <c r="J171" s="456"/>
      <c r="K171" s="456"/>
      <c r="N171" s="455"/>
      <c r="O171" s="456"/>
      <c r="P171" s="456"/>
      <c r="S171" s="455"/>
      <c r="T171" s="456"/>
      <c r="U171" s="456"/>
      <c r="X171" s="455"/>
      <c r="Y171" s="456"/>
      <c r="Z171" s="456"/>
      <c r="AC171" s="455"/>
      <c r="AD171" s="456"/>
      <c r="AE171" s="456"/>
      <c r="AH171" s="455"/>
      <c r="AI171" s="456"/>
      <c r="AJ171" s="456"/>
      <c r="AM171" s="455"/>
      <c r="AN171" s="456"/>
      <c r="AO171" s="456"/>
      <c r="AR171" s="455"/>
      <c r="AS171" s="456"/>
      <c r="AT171" s="456"/>
      <c r="AW171" s="455"/>
      <c r="AX171" s="456"/>
      <c r="AY171" s="456"/>
    </row>
    <row r="172" spans="1:51" x14ac:dyDescent="0.2">
      <c r="A172" s="447">
        <f t="shared" si="3"/>
        <v>170</v>
      </c>
      <c r="B172" s="462">
        <v>489</v>
      </c>
      <c r="C172" s="457" t="s">
        <v>1181</v>
      </c>
      <c r="D172" s="455">
        <v>0</v>
      </c>
      <c r="E172" s="456"/>
      <c r="F172" s="456"/>
      <c r="G172" s="452">
        <v>37987</v>
      </c>
      <c r="H172" s="453">
        <v>40178</v>
      </c>
      <c r="I172" s="455">
        <v>0.01</v>
      </c>
      <c r="J172" s="456"/>
      <c r="K172" s="456"/>
      <c r="L172" s="452">
        <v>40179</v>
      </c>
      <c r="N172" s="455"/>
      <c r="O172" s="456"/>
      <c r="P172" s="456"/>
      <c r="S172" s="455"/>
      <c r="T172" s="456"/>
      <c r="U172" s="456"/>
      <c r="X172" s="455"/>
      <c r="Y172" s="456"/>
      <c r="Z172" s="456"/>
      <c r="AC172" s="455"/>
      <c r="AD172" s="456"/>
      <c r="AE172" s="456"/>
      <c r="AH172" s="455"/>
      <c r="AI172" s="456"/>
      <c r="AJ172" s="456"/>
      <c r="AM172" s="455"/>
      <c r="AN172" s="456"/>
      <c r="AO172" s="456"/>
      <c r="AR172" s="455"/>
      <c r="AS172" s="456"/>
      <c r="AT172" s="456"/>
      <c r="AW172" s="455"/>
      <c r="AX172" s="456"/>
      <c r="AY172" s="456"/>
    </row>
    <row r="173" spans="1:51" x14ac:dyDescent="0.2">
      <c r="A173" s="447">
        <f t="shared" si="2"/>
        <v>171</v>
      </c>
      <c r="B173" s="462">
        <v>490</v>
      </c>
      <c r="C173" s="458" t="s">
        <v>488</v>
      </c>
      <c r="D173" s="455">
        <v>0.02</v>
      </c>
      <c r="E173" s="456"/>
      <c r="F173" s="456"/>
      <c r="G173" s="452">
        <v>37987</v>
      </c>
      <c r="I173" s="455"/>
      <c r="J173" s="456"/>
      <c r="K173" s="456"/>
      <c r="N173" s="455"/>
      <c r="O173" s="456"/>
      <c r="P173" s="456"/>
      <c r="S173" s="455"/>
      <c r="T173" s="456"/>
      <c r="U173" s="456"/>
      <c r="X173" s="455"/>
      <c r="Y173" s="456"/>
      <c r="Z173" s="456"/>
      <c r="AC173" s="455"/>
      <c r="AD173" s="456"/>
      <c r="AE173" s="456"/>
      <c r="AH173" s="455"/>
      <c r="AI173" s="456"/>
      <c r="AJ173" s="456"/>
      <c r="AM173" s="455"/>
      <c r="AN173" s="456"/>
      <c r="AO173" s="456"/>
      <c r="AR173" s="455"/>
      <c r="AS173" s="456"/>
      <c r="AT173" s="456"/>
      <c r="AW173" s="455"/>
      <c r="AX173" s="456"/>
      <c r="AY173" s="456"/>
    </row>
    <row r="174" spans="1:51" x14ac:dyDescent="0.2">
      <c r="A174" s="447">
        <f t="shared" si="2"/>
        <v>172</v>
      </c>
      <c r="B174" s="462">
        <v>496</v>
      </c>
      <c r="C174" s="458" t="s">
        <v>1182</v>
      </c>
      <c r="D174" s="455">
        <v>0.01</v>
      </c>
      <c r="E174" s="456"/>
      <c r="F174" s="456"/>
      <c r="G174" s="452">
        <v>37987</v>
      </c>
      <c r="I174" s="455"/>
      <c r="J174" s="456"/>
      <c r="K174" s="456"/>
      <c r="N174" s="455"/>
      <c r="O174" s="456"/>
      <c r="P174" s="456"/>
      <c r="S174" s="455"/>
      <c r="T174" s="456"/>
      <c r="U174" s="456"/>
      <c r="X174" s="455"/>
      <c r="Y174" s="456"/>
      <c r="Z174" s="456"/>
      <c r="AC174" s="455"/>
      <c r="AD174" s="456"/>
      <c r="AE174" s="456"/>
      <c r="AH174" s="455"/>
      <c r="AI174" s="456"/>
      <c r="AJ174" s="456"/>
      <c r="AM174" s="455"/>
      <c r="AN174" s="456"/>
      <c r="AO174" s="456"/>
      <c r="AR174" s="455"/>
      <c r="AS174" s="456"/>
      <c r="AT174" s="456"/>
      <c r="AW174" s="455"/>
      <c r="AX174" s="456"/>
      <c r="AY174" s="456"/>
    </row>
    <row r="175" spans="1:51" x14ac:dyDescent="0.2">
      <c r="A175" s="447">
        <f t="shared" si="2"/>
        <v>173</v>
      </c>
      <c r="B175" s="462">
        <v>499</v>
      </c>
      <c r="C175" s="458" t="s">
        <v>1183</v>
      </c>
      <c r="D175" s="455">
        <v>1.4999999999999999E-2</v>
      </c>
      <c r="E175" s="456"/>
      <c r="F175" s="456"/>
      <c r="G175" s="452">
        <v>37987</v>
      </c>
      <c r="I175" s="455"/>
      <c r="J175" s="456"/>
      <c r="K175" s="456"/>
      <c r="N175" s="455"/>
      <c r="O175" s="456"/>
      <c r="P175" s="456"/>
      <c r="S175" s="455"/>
      <c r="T175" s="456"/>
      <c r="U175" s="456"/>
      <c r="X175" s="455"/>
      <c r="Y175" s="456"/>
      <c r="Z175" s="456"/>
      <c r="AC175" s="455"/>
      <c r="AD175" s="456"/>
      <c r="AE175" s="456"/>
      <c r="AH175" s="455"/>
      <c r="AI175" s="456"/>
      <c r="AJ175" s="456"/>
      <c r="AM175" s="455"/>
      <c r="AN175" s="456"/>
      <c r="AO175" s="456"/>
      <c r="AR175" s="455"/>
      <c r="AS175" s="456"/>
      <c r="AT175" s="456"/>
      <c r="AW175" s="455"/>
      <c r="AX175" s="456"/>
      <c r="AY175" s="456"/>
    </row>
    <row r="176" spans="1:51" x14ac:dyDescent="0.2">
      <c r="A176" s="447">
        <f t="shared" si="2"/>
        <v>174</v>
      </c>
      <c r="B176" s="462">
        <v>500</v>
      </c>
      <c r="C176" s="457" t="s">
        <v>869</v>
      </c>
      <c r="D176" s="455">
        <v>1.7500000000000002E-2</v>
      </c>
      <c r="E176" s="456"/>
      <c r="F176" s="456"/>
      <c r="G176" s="452">
        <v>37987</v>
      </c>
      <c r="H176" s="453">
        <v>39082</v>
      </c>
      <c r="I176" s="455">
        <v>0.02</v>
      </c>
      <c r="J176" s="456"/>
      <c r="K176" s="456"/>
      <c r="L176" s="452">
        <v>39083</v>
      </c>
      <c r="N176" s="455"/>
      <c r="O176" s="456"/>
      <c r="P176" s="456"/>
      <c r="S176" s="455"/>
      <c r="T176" s="456"/>
      <c r="U176" s="456"/>
      <c r="X176" s="455"/>
      <c r="Y176" s="456"/>
      <c r="Z176" s="456"/>
      <c r="AC176" s="455"/>
      <c r="AD176" s="456"/>
      <c r="AE176" s="456"/>
      <c r="AH176" s="455"/>
      <c r="AI176" s="456"/>
      <c r="AJ176" s="456"/>
      <c r="AM176" s="455"/>
      <c r="AN176" s="456"/>
      <c r="AO176" s="456"/>
      <c r="AR176" s="455"/>
      <c r="AS176" s="456"/>
      <c r="AT176" s="456"/>
      <c r="AW176" s="455"/>
      <c r="AX176" s="456"/>
      <c r="AY176" s="456"/>
    </row>
    <row r="177" spans="1:53" x14ac:dyDescent="0.2">
      <c r="A177" s="447">
        <f t="shared" si="2"/>
        <v>175</v>
      </c>
      <c r="B177" s="462">
        <v>503</v>
      </c>
      <c r="C177" s="457" t="s">
        <v>1284</v>
      </c>
      <c r="D177" s="455">
        <v>0.01</v>
      </c>
      <c r="E177" s="456"/>
      <c r="F177" s="456"/>
      <c r="G177" s="452">
        <v>37987</v>
      </c>
      <c r="I177" s="455"/>
      <c r="J177" s="456"/>
      <c r="K177" s="456"/>
      <c r="N177" s="455"/>
      <c r="O177" s="456"/>
      <c r="P177" s="456"/>
      <c r="S177" s="455"/>
      <c r="T177" s="456"/>
      <c r="U177" s="456"/>
      <c r="X177" s="455"/>
      <c r="Y177" s="456"/>
      <c r="Z177" s="456"/>
      <c r="AC177" s="455"/>
      <c r="AD177" s="456"/>
      <c r="AE177" s="456"/>
      <c r="AH177" s="455"/>
      <c r="AI177" s="456"/>
      <c r="AJ177" s="456"/>
      <c r="AM177" s="455"/>
      <c r="AN177" s="456"/>
      <c r="AO177" s="456"/>
      <c r="AR177" s="455"/>
      <c r="AS177" s="456"/>
      <c r="AT177" s="456"/>
      <c r="AW177" s="455"/>
      <c r="AX177" s="456"/>
      <c r="AY177" s="456"/>
    </row>
    <row r="178" spans="1:53" x14ac:dyDescent="0.2">
      <c r="A178" s="447">
        <f t="shared" si="2"/>
        <v>176</v>
      </c>
      <c r="B178" s="462">
        <v>512</v>
      </c>
      <c r="C178" s="458" t="s">
        <v>1575</v>
      </c>
      <c r="D178" s="455">
        <v>0.01</v>
      </c>
      <c r="E178" s="456"/>
      <c r="F178" s="456"/>
      <c r="G178" s="452">
        <v>37987</v>
      </c>
      <c r="I178" s="455"/>
      <c r="J178" s="456"/>
      <c r="K178" s="456"/>
      <c r="N178" s="455"/>
      <c r="O178" s="456"/>
      <c r="P178" s="456"/>
      <c r="S178" s="455"/>
      <c r="T178" s="456"/>
      <c r="U178" s="456"/>
      <c r="X178" s="455"/>
      <c r="Y178" s="456"/>
      <c r="Z178" s="456"/>
      <c r="AC178" s="455"/>
      <c r="AD178" s="456"/>
      <c r="AE178" s="456"/>
      <c r="AH178" s="455"/>
      <c r="AI178" s="456"/>
      <c r="AJ178" s="456"/>
      <c r="AM178" s="455"/>
      <c r="AN178" s="456"/>
      <c r="AO178" s="456"/>
      <c r="AR178" s="455"/>
      <c r="AS178" s="456"/>
      <c r="AT178" s="456"/>
      <c r="AW178" s="455"/>
      <c r="AX178" s="456"/>
      <c r="AY178" s="456"/>
    </row>
    <row r="179" spans="1:53" x14ac:dyDescent="0.2">
      <c r="A179" s="447">
        <f t="shared" si="2"/>
        <v>177</v>
      </c>
      <c r="B179" s="462">
        <v>501</v>
      </c>
      <c r="C179" s="457" t="s">
        <v>1369</v>
      </c>
      <c r="D179" s="455">
        <v>0</v>
      </c>
      <c r="E179" s="456"/>
      <c r="F179" s="456"/>
      <c r="G179" s="452">
        <v>37987</v>
      </c>
      <c r="H179" s="453">
        <v>40543</v>
      </c>
      <c r="I179" s="455">
        <v>0.01</v>
      </c>
      <c r="J179" s="456"/>
      <c r="K179" s="456"/>
      <c r="L179" s="452">
        <v>40544</v>
      </c>
      <c r="N179" s="455"/>
      <c r="O179" s="456"/>
      <c r="P179" s="456"/>
      <c r="S179" s="455"/>
      <c r="T179" s="456"/>
      <c r="U179" s="456"/>
      <c r="X179" s="455"/>
      <c r="Y179" s="456"/>
      <c r="Z179" s="456"/>
      <c r="AC179" s="455"/>
      <c r="AD179" s="456"/>
      <c r="AE179" s="456"/>
      <c r="AH179" s="455"/>
      <c r="AI179" s="456"/>
      <c r="AJ179" s="456"/>
      <c r="AM179" s="455"/>
      <c r="AN179" s="456"/>
      <c r="AO179" s="456"/>
      <c r="AR179" s="455"/>
      <c r="AS179" s="456"/>
      <c r="AT179" s="456"/>
      <c r="AW179" s="455"/>
      <c r="AX179" s="456"/>
      <c r="AY179" s="456"/>
    </row>
    <row r="180" spans="1:53" x14ac:dyDescent="0.2">
      <c r="A180" s="447">
        <f t="shared" ref="A180:A191" si="4">+A179+1</f>
        <v>178</v>
      </c>
      <c r="B180" s="462">
        <v>505</v>
      </c>
      <c r="C180" s="457" t="s">
        <v>870</v>
      </c>
      <c r="D180" s="455">
        <v>5.0000000000000001E-3</v>
      </c>
      <c r="E180" s="456"/>
      <c r="F180" s="456"/>
      <c r="G180" s="452">
        <v>37987</v>
      </c>
      <c r="H180" s="453">
        <v>40359</v>
      </c>
      <c r="I180" s="455">
        <v>0.01</v>
      </c>
      <c r="J180" s="456"/>
      <c r="K180" s="456"/>
      <c r="L180" s="452">
        <v>40360</v>
      </c>
      <c r="N180" s="455"/>
      <c r="O180" s="456"/>
      <c r="P180" s="456"/>
      <c r="S180" s="455"/>
      <c r="T180" s="456"/>
      <c r="U180" s="456"/>
      <c r="X180" s="455"/>
      <c r="Y180" s="456"/>
      <c r="Z180" s="456"/>
      <c r="AC180" s="455"/>
      <c r="AD180" s="456"/>
      <c r="AE180" s="456"/>
      <c r="AH180" s="455"/>
      <c r="AI180" s="456"/>
      <c r="AJ180" s="456"/>
      <c r="AM180" s="455"/>
      <c r="AN180" s="456"/>
      <c r="AO180" s="456"/>
      <c r="AR180" s="455"/>
      <c r="AS180" s="456"/>
      <c r="AT180" s="456"/>
      <c r="AW180" s="455"/>
      <c r="AX180" s="456"/>
      <c r="AY180" s="456"/>
    </row>
    <row r="181" spans="1:53" x14ac:dyDescent="0.2">
      <c r="A181" s="447">
        <f t="shared" si="4"/>
        <v>179</v>
      </c>
      <c r="B181" s="462">
        <v>513</v>
      </c>
      <c r="C181" s="458" t="s">
        <v>871</v>
      </c>
      <c r="D181" s="459">
        <v>0.01</v>
      </c>
      <c r="E181" s="460"/>
      <c r="F181" s="460"/>
      <c r="G181" s="452">
        <v>37987</v>
      </c>
      <c r="I181" s="455"/>
      <c r="J181" s="456"/>
      <c r="K181" s="456"/>
      <c r="N181" s="455"/>
      <c r="O181" s="456"/>
      <c r="P181" s="456"/>
      <c r="S181" s="455"/>
      <c r="T181" s="456"/>
      <c r="U181" s="456"/>
      <c r="X181" s="455"/>
      <c r="Y181" s="456"/>
      <c r="Z181" s="456"/>
      <c r="AC181" s="455"/>
      <c r="AD181" s="456"/>
      <c r="AE181" s="456"/>
      <c r="AH181" s="455"/>
      <c r="AI181" s="456"/>
      <c r="AJ181" s="456"/>
      <c r="AM181" s="455"/>
      <c r="AN181" s="456"/>
      <c r="AO181" s="456"/>
      <c r="AR181" s="455"/>
      <c r="AS181" s="456"/>
      <c r="AT181" s="456"/>
      <c r="AW181" s="455"/>
      <c r="AX181" s="456"/>
      <c r="AY181" s="456"/>
    </row>
    <row r="182" spans="1:53" x14ac:dyDescent="0.2">
      <c r="A182" s="447">
        <f t="shared" si="4"/>
        <v>180</v>
      </c>
      <c r="B182" s="462">
        <v>507</v>
      </c>
      <c r="C182" s="457" t="s">
        <v>872</v>
      </c>
      <c r="D182" s="455">
        <v>0.01</v>
      </c>
      <c r="E182" s="456"/>
      <c r="F182" s="456"/>
      <c r="G182" s="452">
        <v>37987</v>
      </c>
      <c r="I182" s="455"/>
      <c r="J182" s="456"/>
      <c r="K182" s="456"/>
      <c r="N182" s="455"/>
      <c r="O182" s="456"/>
      <c r="P182" s="456"/>
      <c r="S182" s="455"/>
      <c r="T182" s="456"/>
      <c r="U182" s="456"/>
      <c r="X182" s="455"/>
      <c r="Y182" s="456"/>
      <c r="Z182" s="456"/>
      <c r="AC182" s="455"/>
      <c r="AD182" s="456"/>
      <c r="AE182" s="456"/>
      <c r="AH182" s="455"/>
      <c r="AI182" s="456"/>
      <c r="AJ182" s="456"/>
      <c r="AM182" s="455"/>
      <c r="AN182" s="456"/>
      <c r="AO182" s="456"/>
      <c r="AR182" s="455"/>
      <c r="AS182" s="456"/>
      <c r="AT182" s="456"/>
      <c r="AW182" s="455"/>
      <c r="AX182" s="456"/>
      <c r="AY182" s="456"/>
    </row>
    <row r="183" spans="1:53" x14ac:dyDescent="0.2">
      <c r="A183" s="447">
        <f t="shared" si="4"/>
        <v>181</v>
      </c>
      <c r="B183" s="462">
        <v>523</v>
      </c>
      <c r="C183" s="458" t="s">
        <v>1513</v>
      </c>
      <c r="D183" s="455">
        <v>0</v>
      </c>
      <c r="E183" s="456"/>
      <c r="F183" s="456"/>
      <c r="G183" s="452">
        <v>37987</v>
      </c>
      <c r="H183" s="453">
        <v>39263</v>
      </c>
      <c r="I183" s="455">
        <v>0.01</v>
      </c>
      <c r="J183" s="456"/>
      <c r="K183" s="456"/>
      <c r="L183" s="452">
        <v>39264</v>
      </c>
      <c r="N183" s="455"/>
      <c r="O183" s="456"/>
      <c r="P183" s="456"/>
      <c r="S183" s="455"/>
      <c r="T183" s="456"/>
      <c r="U183" s="456"/>
      <c r="X183" s="455"/>
      <c r="Y183" s="456"/>
      <c r="Z183" s="456"/>
      <c r="AC183" s="455"/>
      <c r="AD183" s="456"/>
      <c r="AE183" s="456"/>
      <c r="AH183" s="455"/>
      <c r="AI183" s="456"/>
      <c r="AJ183" s="456"/>
      <c r="AM183" s="455"/>
      <c r="AN183" s="456"/>
      <c r="AO183" s="456"/>
      <c r="AR183" s="455"/>
      <c r="AS183" s="456"/>
      <c r="AT183" s="456"/>
      <c r="AW183" s="455"/>
      <c r="AX183" s="456"/>
      <c r="AY183" s="456"/>
    </row>
    <row r="184" spans="1:53" x14ac:dyDescent="0.2">
      <c r="A184" s="447">
        <f t="shared" si="4"/>
        <v>182</v>
      </c>
      <c r="B184" s="462">
        <v>613</v>
      </c>
      <c r="C184" s="458" t="s">
        <v>1514</v>
      </c>
      <c r="D184" s="455">
        <v>0</v>
      </c>
      <c r="E184" s="456"/>
      <c r="F184" s="456"/>
      <c r="G184" s="452">
        <v>37987</v>
      </c>
      <c r="H184" s="453">
        <v>41029</v>
      </c>
      <c r="I184" s="455">
        <v>0.01</v>
      </c>
      <c r="J184" s="456"/>
      <c r="K184" s="456"/>
      <c r="L184" s="452">
        <v>37377</v>
      </c>
      <c r="N184" s="455"/>
      <c r="O184" s="456"/>
      <c r="P184" s="456"/>
      <c r="S184" s="455"/>
      <c r="T184" s="456"/>
      <c r="U184" s="456"/>
      <c r="X184" s="455"/>
      <c r="Y184" s="456"/>
      <c r="Z184" s="456"/>
      <c r="AC184" s="455"/>
      <c r="AD184" s="456"/>
      <c r="AE184" s="456"/>
      <c r="AH184" s="455"/>
      <c r="AI184" s="456"/>
      <c r="AJ184" s="456"/>
      <c r="AM184" s="455"/>
      <c r="AN184" s="456"/>
      <c r="AO184" s="456"/>
      <c r="AR184" s="455"/>
      <c r="AS184" s="456"/>
      <c r="AT184" s="456"/>
      <c r="AW184" s="455"/>
      <c r="AX184" s="456"/>
      <c r="AY184" s="456"/>
    </row>
    <row r="185" spans="1:53" x14ac:dyDescent="0.2">
      <c r="A185" s="447">
        <f t="shared" si="4"/>
        <v>183</v>
      </c>
      <c r="B185" s="462">
        <v>622</v>
      </c>
      <c r="C185" s="458" t="s">
        <v>1515</v>
      </c>
      <c r="D185" s="455">
        <v>0</v>
      </c>
      <c r="E185" s="456"/>
      <c r="F185" s="456"/>
      <c r="G185" s="452">
        <v>37987</v>
      </c>
      <c r="H185" s="453">
        <v>41425</v>
      </c>
      <c r="I185" s="455">
        <v>0.01</v>
      </c>
      <c r="J185" s="456"/>
      <c r="K185" s="456"/>
      <c r="L185" s="452">
        <v>41426</v>
      </c>
      <c r="N185" s="455"/>
      <c r="O185" s="456"/>
      <c r="P185" s="456"/>
      <c r="S185" s="455"/>
      <c r="T185" s="456"/>
      <c r="U185" s="456"/>
      <c r="X185" s="455"/>
      <c r="Y185" s="456"/>
      <c r="Z185" s="456"/>
      <c r="AC185" s="455"/>
      <c r="AD185" s="456"/>
      <c r="AE185" s="456"/>
      <c r="AH185" s="455"/>
      <c r="AI185" s="456"/>
      <c r="AJ185" s="456"/>
      <c r="AM185" s="455"/>
      <c r="AN185" s="456"/>
      <c r="AO185" s="456"/>
      <c r="AR185" s="455"/>
      <c r="AS185" s="456"/>
      <c r="AT185" s="456"/>
      <c r="AW185" s="455"/>
      <c r="AX185" s="456"/>
      <c r="AY185" s="456"/>
    </row>
    <row r="186" spans="1:53" x14ac:dyDescent="0.2">
      <c r="A186" s="447">
        <f t="shared" si="4"/>
        <v>184</v>
      </c>
      <c r="B186" s="462">
        <v>623</v>
      </c>
      <c r="C186" s="458" t="s">
        <v>1516</v>
      </c>
      <c r="D186" s="455">
        <v>0</v>
      </c>
      <c r="E186" s="456"/>
      <c r="F186" s="456"/>
      <c r="G186" s="452">
        <v>37987</v>
      </c>
      <c r="H186" s="453">
        <v>41547</v>
      </c>
      <c r="I186" s="455">
        <v>0.01</v>
      </c>
      <c r="J186" s="456"/>
      <c r="K186" s="456"/>
      <c r="L186" s="452">
        <v>41548</v>
      </c>
      <c r="N186" s="455"/>
      <c r="O186" s="456"/>
      <c r="P186" s="456"/>
      <c r="S186" s="455"/>
      <c r="T186" s="456"/>
      <c r="U186" s="456"/>
      <c r="X186" s="455"/>
      <c r="Y186" s="456"/>
      <c r="Z186" s="456"/>
      <c r="AC186" s="455"/>
      <c r="AD186" s="456"/>
      <c r="AE186" s="456"/>
      <c r="AH186" s="455"/>
      <c r="AI186" s="456"/>
      <c r="AJ186" s="456"/>
      <c r="AM186" s="455"/>
      <c r="AN186" s="456"/>
      <c r="AO186" s="456"/>
      <c r="AR186" s="455"/>
      <c r="AS186" s="456"/>
      <c r="AT186" s="456"/>
      <c r="AW186" s="455"/>
      <c r="AX186" s="456"/>
      <c r="AY186" s="456"/>
    </row>
    <row r="187" spans="1:53" s="763" customFormat="1" x14ac:dyDescent="0.2">
      <c r="A187" s="756">
        <f t="shared" si="4"/>
        <v>185</v>
      </c>
      <c r="B187" s="777">
        <v>628</v>
      </c>
      <c r="C187" s="778" t="s">
        <v>1664</v>
      </c>
      <c r="D187" s="759">
        <v>0</v>
      </c>
      <c r="E187" s="760"/>
      <c r="F187" s="760"/>
      <c r="G187" s="761">
        <v>37987</v>
      </c>
      <c r="H187" s="762">
        <v>43281</v>
      </c>
      <c r="I187" s="759">
        <v>0.01</v>
      </c>
      <c r="J187" s="760"/>
      <c r="K187" s="760"/>
      <c r="L187" s="761">
        <v>43282</v>
      </c>
      <c r="M187" s="762"/>
      <c r="N187" s="759"/>
      <c r="O187" s="760"/>
      <c r="P187" s="760"/>
      <c r="Q187" s="761"/>
      <c r="R187" s="762"/>
      <c r="S187" s="759"/>
      <c r="T187" s="760"/>
      <c r="U187" s="760"/>
      <c r="V187" s="761"/>
      <c r="W187" s="762"/>
      <c r="X187" s="759"/>
      <c r="Y187" s="760"/>
      <c r="Z187" s="760"/>
      <c r="AA187" s="761"/>
      <c r="AB187" s="762"/>
      <c r="AC187" s="759"/>
      <c r="AD187" s="760"/>
      <c r="AE187" s="760"/>
      <c r="AF187" s="761"/>
      <c r="AG187" s="762"/>
      <c r="AH187" s="759"/>
      <c r="AI187" s="760"/>
      <c r="AJ187" s="760"/>
      <c r="AK187" s="761"/>
      <c r="AL187" s="762"/>
      <c r="AM187" s="759"/>
      <c r="AN187" s="760"/>
      <c r="AO187" s="760"/>
      <c r="AP187" s="761"/>
      <c r="AQ187" s="762"/>
      <c r="AR187" s="759"/>
      <c r="AS187" s="760"/>
      <c r="AT187" s="760"/>
      <c r="AU187" s="761"/>
      <c r="AV187" s="762"/>
      <c r="AW187" s="759"/>
      <c r="AX187" s="760"/>
      <c r="AY187" s="760"/>
      <c r="AZ187" s="761"/>
      <c r="BA187" s="762"/>
    </row>
    <row r="188" spans="1:53" x14ac:dyDescent="0.2">
      <c r="A188" s="447">
        <f t="shared" si="4"/>
        <v>186</v>
      </c>
      <c r="B188" s="462">
        <v>558</v>
      </c>
      <c r="C188" s="457" t="s">
        <v>1370</v>
      </c>
      <c r="D188" s="455">
        <v>0</v>
      </c>
      <c r="E188" s="456"/>
      <c r="F188" s="456"/>
      <c r="G188" s="452">
        <v>37987</v>
      </c>
      <c r="H188" s="453">
        <v>40543</v>
      </c>
      <c r="I188" s="455">
        <v>0.01</v>
      </c>
      <c r="J188" s="456"/>
      <c r="K188" s="456"/>
      <c r="L188" s="452">
        <v>40544</v>
      </c>
      <c r="N188" s="455"/>
      <c r="O188" s="456"/>
      <c r="P188" s="456"/>
      <c r="S188" s="455"/>
      <c r="T188" s="456"/>
      <c r="U188" s="456"/>
      <c r="X188" s="455"/>
      <c r="Y188" s="456"/>
      <c r="Z188" s="456"/>
      <c r="AC188" s="455"/>
      <c r="AD188" s="456"/>
      <c r="AE188" s="456"/>
      <c r="AH188" s="455"/>
      <c r="AI188" s="456"/>
      <c r="AJ188" s="456"/>
      <c r="AM188" s="455"/>
      <c r="AN188" s="456"/>
      <c r="AO188" s="456"/>
      <c r="AR188" s="455"/>
      <c r="AS188" s="456"/>
      <c r="AT188" s="456"/>
      <c r="AW188" s="455"/>
      <c r="AX188" s="456"/>
      <c r="AY188" s="456"/>
    </row>
    <row r="189" spans="1:53" x14ac:dyDescent="0.2">
      <c r="A189" s="447">
        <f t="shared" si="4"/>
        <v>187</v>
      </c>
      <c r="B189" s="462">
        <v>692</v>
      </c>
      <c r="C189" s="458" t="s">
        <v>1582</v>
      </c>
      <c r="D189" s="455">
        <v>0</v>
      </c>
      <c r="E189" s="456"/>
      <c r="F189" s="456"/>
      <c r="G189" s="452">
        <v>37987</v>
      </c>
      <c r="H189" s="453">
        <v>42551</v>
      </c>
      <c r="I189" s="459">
        <v>0.01</v>
      </c>
      <c r="J189" s="456"/>
      <c r="K189" s="456"/>
      <c r="L189" s="452">
        <v>42552</v>
      </c>
      <c r="N189" s="455"/>
      <c r="O189" s="456"/>
      <c r="P189" s="456"/>
      <c r="S189" s="455"/>
      <c r="T189" s="456"/>
      <c r="U189" s="456"/>
      <c r="X189" s="455"/>
      <c r="Y189" s="456"/>
      <c r="Z189" s="456"/>
      <c r="AC189" s="455"/>
      <c r="AD189" s="456"/>
      <c r="AE189" s="456"/>
      <c r="AH189" s="455"/>
      <c r="AI189" s="456"/>
      <c r="AJ189" s="456"/>
      <c r="AM189" s="455"/>
      <c r="AN189" s="456"/>
      <c r="AO189" s="456"/>
      <c r="AR189" s="455"/>
      <c r="AS189" s="456"/>
      <c r="AT189" s="456"/>
      <c r="AW189" s="455"/>
      <c r="AX189" s="456"/>
      <c r="AY189" s="456"/>
    </row>
    <row r="190" spans="1:53" x14ac:dyDescent="0.2">
      <c r="A190" s="447">
        <f t="shared" si="4"/>
        <v>188</v>
      </c>
      <c r="B190" s="462">
        <v>502</v>
      </c>
      <c r="C190" s="457" t="s">
        <v>1371</v>
      </c>
      <c r="D190" s="455">
        <v>0</v>
      </c>
      <c r="E190" s="456"/>
      <c r="F190" s="456"/>
      <c r="G190" s="452">
        <v>37987</v>
      </c>
      <c r="H190" s="453">
        <v>38352</v>
      </c>
      <c r="I190" s="455">
        <v>0.01</v>
      </c>
      <c r="J190" s="456"/>
      <c r="K190" s="456"/>
      <c r="L190" s="452">
        <v>38353</v>
      </c>
      <c r="N190" s="455"/>
      <c r="O190" s="456"/>
      <c r="P190" s="456"/>
      <c r="S190" s="455"/>
      <c r="T190" s="456"/>
      <c r="U190" s="456"/>
      <c r="X190" s="455"/>
      <c r="Y190" s="456"/>
      <c r="Z190" s="456"/>
      <c r="AC190" s="455"/>
      <c r="AD190" s="456"/>
      <c r="AE190" s="456"/>
      <c r="AH190" s="455"/>
      <c r="AI190" s="456"/>
      <c r="AJ190" s="456"/>
      <c r="AM190" s="455"/>
      <c r="AN190" s="456"/>
      <c r="AO190" s="456"/>
      <c r="AR190" s="455"/>
      <c r="AS190" s="456"/>
      <c r="AT190" s="456"/>
      <c r="AW190" s="455"/>
      <c r="AX190" s="456"/>
      <c r="AY190" s="456"/>
    </row>
    <row r="191" spans="1:53" x14ac:dyDescent="0.2">
      <c r="A191" s="447">
        <f t="shared" si="4"/>
        <v>189</v>
      </c>
      <c r="B191" s="462">
        <v>509</v>
      </c>
      <c r="C191" s="458" t="s">
        <v>873</v>
      </c>
      <c r="D191" s="455">
        <v>0</v>
      </c>
      <c r="E191" s="456"/>
      <c r="F191" s="456"/>
      <c r="G191" s="452">
        <v>37987</v>
      </c>
      <c r="H191" s="453">
        <v>38352</v>
      </c>
      <c r="I191" s="455">
        <v>0.01</v>
      </c>
      <c r="J191" s="456"/>
      <c r="K191" s="456"/>
      <c r="L191" s="452">
        <v>38353</v>
      </c>
      <c r="M191" s="453">
        <v>41455</v>
      </c>
      <c r="N191" s="455">
        <v>0.01</v>
      </c>
      <c r="O191" s="456"/>
      <c r="P191" s="456"/>
      <c r="Q191" s="452">
        <v>41456</v>
      </c>
      <c r="R191" s="453">
        <v>42004</v>
      </c>
      <c r="S191" s="455">
        <v>0.02</v>
      </c>
      <c r="T191" s="456"/>
      <c r="U191" s="456"/>
      <c r="V191" s="452">
        <v>42005</v>
      </c>
      <c r="X191" s="455"/>
      <c r="Y191" s="456"/>
      <c r="Z191" s="456"/>
      <c r="AC191" s="455"/>
      <c r="AD191" s="456"/>
      <c r="AE191" s="456"/>
      <c r="AH191" s="455"/>
      <c r="AI191" s="456"/>
      <c r="AJ191" s="456"/>
      <c r="AM191" s="455"/>
      <c r="AN191" s="456"/>
      <c r="AO191" s="456"/>
      <c r="AR191" s="455"/>
      <c r="AS191" s="456"/>
      <c r="AT191" s="456"/>
      <c r="AW191" s="455"/>
      <c r="AX191" s="456"/>
      <c r="AY191" s="456"/>
    </row>
    <row r="192" spans="1:53" x14ac:dyDescent="0.2">
      <c r="A192" s="447">
        <f t="shared" si="2"/>
        <v>190</v>
      </c>
      <c r="B192" s="462">
        <v>508</v>
      </c>
      <c r="C192" s="457" t="s">
        <v>1184</v>
      </c>
      <c r="D192" s="455">
        <v>0.02</v>
      </c>
      <c r="E192" s="456"/>
      <c r="F192" s="456"/>
      <c r="G192" s="452">
        <v>37987</v>
      </c>
      <c r="H192" s="453">
        <v>41455</v>
      </c>
      <c r="I192" s="687">
        <v>1.975E-2</v>
      </c>
      <c r="J192" s="456"/>
      <c r="K192" s="456"/>
      <c r="L192" s="452">
        <v>41456</v>
      </c>
      <c r="M192" s="453">
        <v>42735</v>
      </c>
      <c r="N192" s="455">
        <v>0.02</v>
      </c>
      <c r="O192" s="456"/>
      <c r="P192" s="456"/>
      <c r="Q192" s="452">
        <v>42736</v>
      </c>
      <c r="S192" s="455"/>
      <c r="T192" s="456"/>
      <c r="U192" s="456"/>
      <c r="X192" s="455"/>
      <c r="Y192" s="456"/>
      <c r="Z192" s="456"/>
      <c r="AC192" s="455"/>
      <c r="AD192" s="456"/>
      <c r="AE192" s="456"/>
      <c r="AH192" s="455"/>
      <c r="AI192" s="456"/>
      <c r="AJ192" s="456"/>
      <c r="AM192" s="455"/>
      <c r="AN192" s="456"/>
      <c r="AO192" s="456"/>
      <c r="AR192" s="455"/>
      <c r="AS192" s="456"/>
      <c r="AT192" s="456"/>
      <c r="AW192" s="455"/>
      <c r="AX192" s="456"/>
      <c r="AY192" s="456"/>
    </row>
    <row r="193" spans="1:51" x14ac:dyDescent="0.2">
      <c r="A193" s="447">
        <f t="shared" si="2"/>
        <v>191</v>
      </c>
      <c r="B193" s="462">
        <v>515</v>
      </c>
      <c r="C193" s="457" t="s">
        <v>874</v>
      </c>
      <c r="D193" s="455">
        <v>0.02</v>
      </c>
      <c r="E193" s="456"/>
      <c r="F193" s="456"/>
      <c r="G193" s="452">
        <v>37987</v>
      </c>
      <c r="H193" s="453">
        <v>40178</v>
      </c>
      <c r="I193" s="455">
        <v>2.2499999999999999E-2</v>
      </c>
      <c r="J193" s="456"/>
      <c r="K193" s="456"/>
      <c r="L193" s="452">
        <v>40360</v>
      </c>
      <c r="N193" s="455"/>
      <c r="O193" s="456"/>
      <c r="P193" s="456"/>
      <c r="S193" s="455"/>
      <c r="T193" s="456"/>
      <c r="U193" s="456"/>
      <c r="X193" s="455"/>
      <c r="Y193" s="456"/>
      <c r="Z193" s="456"/>
      <c r="AC193" s="455"/>
      <c r="AD193" s="456"/>
      <c r="AE193" s="456"/>
      <c r="AH193" s="455"/>
      <c r="AI193" s="456"/>
      <c r="AJ193" s="456"/>
      <c r="AM193" s="455"/>
      <c r="AN193" s="456"/>
      <c r="AO193" s="456"/>
      <c r="AR193" s="455"/>
      <c r="AS193" s="456"/>
      <c r="AT193" s="456"/>
      <c r="AW193" s="455"/>
      <c r="AX193" s="456"/>
      <c r="AY193" s="456"/>
    </row>
    <row r="194" spans="1:51" x14ac:dyDescent="0.2">
      <c r="A194" s="447">
        <f t="shared" si="2"/>
        <v>192</v>
      </c>
      <c r="B194" s="462">
        <v>520</v>
      </c>
      <c r="C194" s="457" t="s">
        <v>195</v>
      </c>
      <c r="D194" s="455">
        <v>0.01</v>
      </c>
      <c r="E194" s="456"/>
      <c r="F194" s="456"/>
      <c r="G194" s="452">
        <v>37987</v>
      </c>
      <c r="I194" s="455"/>
      <c r="J194" s="456"/>
      <c r="K194" s="456"/>
      <c r="N194" s="455"/>
      <c r="O194" s="456"/>
      <c r="P194" s="456"/>
      <c r="S194" s="455"/>
      <c r="T194" s="456"/>
      <c r="U194" s="456"/>
      <c r="X194" s="455"/>
      <c r="Y194" s="456"/>
      <c r="Z194" s="456"/>
      <c r="AC194" s="455"/>
      <c r="AD194" s="456"/>
      <c r="AE194" s="456"/>
      <c r="AH194" s="455"/>
      <c r="AI194" s="456"/>
      <c r="AJ194" s="456"/>
      <c r="AM194" s="455"/>
      <c r="AN194" s="456"/>
      <c r="AO194" s="456"/>
      <c r="AR194" s="455"/>
      <c r="AS194" s="456"/>
      <c r="AT194" s="456"/>
      <c r="AW194" s="455"/>
      <c r="AX194" s="456"/>
      <c r="AY194" s="456"/>
    </row>
    <row r="195" spans="1:51" x14ac:dyDescent="0.2">
      <c r="A195" s="447">
        <f t="shared" si="2"/>
        <v>193</v>
      </c>
      <c r="B195" s="462">
        <v>617</v>
      </c>
      <c r="C195" s="458" t="s">
        <v>497</v>
      </c>
      <c r="D195" s="455">
        <v>0</v>
      </c>
      <c r="E195" s="456"/>
      <c r="F195" s="456"/>
      <c r="G195" s="452">
        <v>37987</v>
      </c>
      <c r="H195" s="453">
        <v>41547</v>
      </c>
      <c r="I195" s="455">
        <v>0.01</v>
      </c>
      <c r="J195" s="456"/>
      <c r="K195" s="456"/>
      <c r="L195" s="452">
        <v>41548</v>
      </c>
      <c r="N195" s="455"/>
      <c r="O195" s="456"/>
      <c r="P195" s="456"/>
      <c r="S195" s="455"/>
      <c r="T195" s="456"/>
      <c r="U195" s="456"/>
      <c r="X195" s="455"/>
      <c r="Y195" s="456"/>
      <c r="Z195" s="456"/>
      <c r="AC195" s="455"/>
      <c r="AD195" s="456"/>
      <c r="AE195" s="456"/>
      <c r="AH195" s="455"/>
      <c r="AI195" s="456"/>
      <c r="AJ195" s="456"/>
      <c r="AM195" s="455"/>
      <c r="AN195" s="456"/>
      <c r="AO195" s="456"/>
      <c r="AR195" s="455"/>
      <c r="AS195" s="456"/>
      <c r="AT195" s="456"/>
      <c r="AW195" s="455"/>
      <c r="AX195" s="456"/>
      <c r="AY195" s="456"/>
    </row>
    <row r="196" spans="1:51" x14ac:dyDescent="0.2">
      <c r="A196" s="447">
        <f t="shared" si="2"/>
        <v>194</v>
      </c>
      <c r="B196" s="462">
        <v>479</v>
      </c>
      <c r="C196" s="458" t="s">
        <v>957</v>
      </c>
      <c r="D196" s="455">
        <v>0</v>
      </c>
      <c r="E196" s="456"/>
      <c r="F196" s="456"/>
      <c r="G196" s="452">
        <v>37987</v>
      </c>
      <c r="H196" s="453">
        <v>40724</v>
      </c>
      <c r="I196" s="455">
        <v>0.01</v>
      </c>
      <c r="J196" s="456"/>
      <c r="K196" s="456"/>
      <c r="L196" s="452">
        <v>40725</v>
      </c>
      <c r="M196" s="453">
        <v>42004</v>
      </c>
      <c r="N196" s="455">
        <v>0</v>
      </c>
      <c r="O196" s="456"/>
      <c r="P196" s="456"/>
      <c r="Q196" s="452">
        <v>42005</v>
      </c>
      <c r="S196" s="455"/>
      <c r="T196" s="456"/>
      <c r="U196" s="456"/>
      <c r="X196" s="455"/>
      <c r="Y196" s="456"/>
      <c r="Z196" s="456"/>
      <c r="AC196" s="455"/>
      <c r="AD196" s="456"/>
      <c r="AE196" s="456"/>
      <c r="AH196" s="455"/>
      <c r="AI196" s="456"/>
      <c r="AJ196" s="456"/>
      <c r="AM196" s="455"/>
      <c r="AN196" s="456"/>
      <c r="AO196" s="456"/>
      <c r="AR196" s="455"/>
      <c r="AS196" s="456"/>
      <c r="AT196" s="456"/>
      <c r="AW196" s="455"/>
      <c r="AX196" s="456"/>
      <c r="AY196" s="456"/>
    </row>
    <row r="197" spans="1:51" x14ac:dyDescent="0.2">
      <c r="A197" s="447">
        <f t="shared" si="2"/>
        <v>195</v>
      </c>
      <c r="B197" s="462">
        <v>527</v>
      </c>
      <c r="C197" s="458" t="s">
        <v>498</v>
      </c>
      <c r="D197" s="455">
        <v>1.4999999999999999E-2</v>
      </c>
      <c r="E197" s="456"/>
      <c r="F197" s="456"/>
      <c r="G197" s="452">
        <v>37987</v>
      </c>
      <c r="H197" s="453">
        <v>42004</v>
      </c>
      <c r="I197" s="455">
        <v>0.02</v>
      </c>
      <c r="J197" s="456"/>
      <c r="K197" s="456"/>
      <c r="L197" s="452">
        <v>42005</v>
      </c>
      <c r="N197" s="455"/>
      <c r="O197" s="456"/>
      <c r="P197" s="456"/>
      <c r="S197" s="455"/>
      <c r="T197" s="456"/>
      <c r="U197" s="456"/>
      <c r="X197" s="455"/>
      <c r="Y197" s="456"/>
      <c r="Z197" s="456"/>
      <c r="AC197" s="455"/>
      <c r="AD197" s="456"/>
      <c r="AE197" s="456"/>
      <c r="AH197" s="455"/>
      <c r="AI197" s="456"/>
      <c r="AJ197" s="456"/>
      <c r="AM197" s="455"/>
      <c r="AN197" s="456"/>
      <c r="AO197" s="456"/>
      <c r="AR197" s="455"/>
      <c r="AS197" s="456"/>
      <c r="AT197" s="456"/>
      <c r="AW197" s="455"/>
      <c r="AX197" s="456"/>
      <c r="AY197" s="456"/>
    </row>
    <row r="198" spans="1:51" x14ac:dyDescent="0.2">
      <c r="A198" s="447">
        <f t="shared" si="2"/>
        <v>196</v>
      </c>
      <c r="B198" s="462">
        <v>528</v>
      </c>
      <c r="C198" s="457" t="s">
        <v>196</v>
      </c>
      <c r="D198" s="455">
        <v>0.01</v>
      </c>
      <c r="E198" s="456"/>
      <c r="F198" s="456"/>
      <c r="G198" s="452">
        <v>37987</v>
      </c>
      <c r="I198" s="455"/>
      <c r="J198" s="456"/>
      <c r="K198" s="456"/>
      <c r="N198" s="455"/>
      <c r="O198" s="456"/>
      <c r="P198" s="456"/>
      <c r="S198" s="455"/>
      <c r="T198" s="456"/>
      <c r="U198" s="456"/>
      <c r="X198" s="455"/>
      <c r="Y198" s="456"/>
      <c r="Z198" s="456"/>
      <c r="AC198" s="455"/>
      <c r="AD198" s="456"/>
      <c r="AE198" s="456"/>
      <c r="AH198" s="455"/>
      <c r="AI198" s="456"/>
      <c r="AJ198" s="456"/>
      <c r="AM198" s="455"/>
      <c r="AN198" s="456"/>
      <c r="AO198" s="456"/>
      <c r="AR198" s="455"/>
      <c r="AS198" s="456"/>
      <c r="AT198" s="456"/>
      <c r="AW198" s="455"/>
      <c r="AX198" s="456"/>
      <c r="AY198" s="456"/>
    </row>
    <row r="199" spans="1:51" x14ac:dyDescent="0.2">
      <c r="A199" s="447">
        <f t="shared" si="2"/>
        <v>197</v>
      </c>
      <c r="B199" s="462">
        <v>331</v>
      </c>
      <c r="C199" s="458" t="s">
        <v>499</v>
      </c>
      <c r="D199" s="455">
        <v>0</v>
      </c>
      <c r="E199" s="456"/>
      <c r="F199" s="456"/>
      <c r="G199" s="452">
        <v>37987</v>
      </c>
      <c r="H199" s="453">
        <v>41425</v>
      </c>
      <c r="I199" s="455">
        <v>0.01</v>
      </c>
      <c r="J199" s="456"/>
      <c r="K199" s="456"/>
      <c r="L199" s="452">
        <v>41426</v>
      </c>
      <c r="N199" s="455"/>
      <c r="O199" s="456"/>
      <c r="P199" s="456"/>
      <c r="S199" s="455"/>
      <c r="T199" s="456"/>
      <c r="U199" s="456"/>
      <c r="X199" s="455"/>
      <c r="Y199" s="456"/>
      <c r="Z199" s="456"/>
      <c r="AC199" s="455"/>
      <c r="AD199" s="456"/>
      <c r="AE199" s="456"/>
      <c r="AH199" s="455"/>
      <c r="AI199" s="456"/>
      <c r="AJ199" s="456"/>
      <c r="AM199" s="455"/>
      <c r="AN199" s="456"/>
      <c r="AO199" s="456"/>
      <c r="AR199" s="455"/>
      <c r="AS199" s="456"/>
      <c r="AT199" s="456"/>
      <c r="AW199" s="455"/>
      <c r="AX199" s="456"/>
      <c r="AY199" s="456"/>
    </row>
    <row r="200" spans="1:51" x14ac:dyDescent="0.2">
      <c r="A200" s="447">
        <f t="shared" si="2"/>
        <v>198</v>
      </c>
      <c r="B200" s="462">
        <v>535</v>
      </c>
      <c r="C200" s="457" t="s">
        <v>197</v>
      </c>
      <c r="D200" s="455">
        <v>0.02</v>
      </c>
      <c r="E200" s="456"/>
      <c r="F200" s="456"/>
      <c r="G200" s="452">
        <v>37987</v>
      </c>
      <c r="I200" s="455"/>
      <c r="J200" s="456"/>
      <c r="K200" s="456"/>
      <c r="N200" s="455"/>
      <c r="O200" s="456"/>
      <c r="P200" s="456"/>
      <c r="S200" s="455"/>
      <c r="T200" s="456"/>
      <c r="U200" s="456"/>
      <c r="X200" s="455"/>
      <c r="Y200" s="456"/>
      <c r="Z200" s="456"/>
      <c r="AC200" s="455"/>
      <c r="AD200" s="456"/>
      <c r="AE200" s="456"/>
      <c r="AH200" s="455"/>
      <c r="AI200" s="456"/>
      <c r="AJ200" s="456"/>
      <c r="AM200" s="455"/>
      <c r="AN200" s="456"/>
      <c r="AO200" s="456"/>
      <c r="AR200" s="455"/>
      <c r="AS200" s="456"/>
      <c r="AT200" s="456"/>
      <c r="AW200" s="455"/>
      <c r="AX200" s="456"/>
      <c r="AY200" s="456"/>
    </row>
    <row r="201" spans="1:51" x14ac:dyDescent="0.2">
      <c r="A201" s="447">
        <f t="shared" si="2"/>
        <v>199</v>
      </c>
      <c r="B201" s="462">
        <v>568</v>
      </c>
      <c r="C201" s="457" t="s">
        <v>959</v>
      </c>
      <c r="D201" s="455">
        <v>0</v>
      </c>
      <c r="E201" s="456"/>
      <c r="F201" s="456"/>
      <c r="G201" s="452">
        <v>37987</v>
      </c>
      <c r="H201" s="453">
        <v>40724</v>
      </c>
      <c r="I201" s="455">
        <v>0.01</v>
      </c>
      <c r="J201" s="456"/>
      <c r="K201" s="456"/>
      <c r="L201" s="452">
        <v>40725</v>
      </c>
      <c r="N201" s="455"/>
      <c r="O201" s="456"/>
      <c r="P201" s="456"/>
      <c r="S201" s="455"/>
      <c r="T201" s="456"/>
      <c r="U201" s="456"/>
      <c r="X201" s="455"/>
      <c r="Y201" s="456"/>
      <c r="Z201" s="456"/>
      <c r="AC201" s="455"/>
      <c r="AD201" s="456"/>
      <c r="AE201" s="456"/>
      <c r="AH201" s="455"/>
      <c r="AI201" s="456"/>
      <c r="AJ201" s="456"/>
      <c r="AM201" s="455"/>
      <c r="AN201" s="456"/>
      <c r="AO201" s="456"/>
      <c r="AR201" s="455"/>
      <c r="AS201" s="456"/>
      <c r="AT201" s="456"/>
      <c r="AW201" s="455"/>
      <c r="AX201" s="456"/>
      <c r="AY201" s="456"/>
    </row>
    <row r="202" spans="1:51" x14ac:dyDescent="0.2">
      <c r="A202" s="461">
        <f t="shared" si="2"/>
        <v>200</v>
      </c>
      <c r="B202" s="462">
        <v>504</v>
      </c>
      <c r="C202" s="457" t="s">
        <v>198</v>
      </c>
      <c r="D202" s="455">
        <v>0.01</v>
      </c>
      <c r="E202" s="456"/>
      <c r="F202" s="456"/>
      <c r="G202" s="452">
        <v>37987</v>
      </c>
      <c r="I202" s="455"/>
      <c r="J202" s="456"/>
      <c r="K202" s="456"/>
      <c r="N202" s="455"/>
      <c r="O202" s="456"/>
      <c r="P202" s="456"/>
      <c r="S202" s="455"/>
      <c r="T202" s="456"/>
      <c r="U202" s="456"/>
      <c r="X202" s="455"/>
      <c r="Y202" s="456"/>
      <c r="Z202" s="456"/>
      <c r="AC202" s="455"/>
      <c r="AD202" s="456"/>
      <c r="AE202" s="456"/>
      <c r="AH202" s="455"/>
      <c r="AI202" s="456"/>
      <c r="AJ202" s="456"/>
      <c r="AM202" s="455"/>
      <c r="AN202" s="456"/>
      <c r="AO202" s="456"/>
      <c r="AR202" s="455"/>
      <c r="AS202" s="456"/>
      <c r="AT202" s="456"/>
      <c r="AW202" s="455"/>
      <c r="AX202" s="456"/>
      <c r="AY202" s="456"/>
    </row>
    <row r="203" spans="1:51" x14ac:dyDescent="0.2">
      <c r="A203" s="447">
        <f t="shared" si="2"/>
        <v>201</v>
      </c>
      <c r="B203" s="462">
        <v>554</v>
      </c>
      <c r="C203" s="458" t="s">
        <v>487</v>
      </c>
      <c r="D203" s="455">
        <v>0</v>
      </c>
      <c r="E203" s="456"/>
      <c r="F203" s="456"/>
      <c r="G203" s="452">
        <v>37987</v>
      </c>
      <c r="H203" s="453">
        <v>38595</v>
      </c>
      <c r="I203" s="455">
        <v>0.01</v>
      </c>
      <c r="J203" s="456"/>
      <c r="K203" s="456"/>
      <c r="L203" s="452">
        <v>38596</v>
      </c>
      <c r="M203" s="453">
        <v>42735</v>
      </c>
      <c r="N203" s="459">
        <v>0.02</v>
      </c>
      <c r="O203" s="456"/>
      <c r="P203" s="456"/>
      <c r="Q203" s="452">
        <v>42736</v>
      </c>
      <c r="S203" s="455"/>
      <c r="T203" s="456"/>
      <c r="U203" s="456"/>
      <c r="X203" s="455"/>
      <c r="Y203" s="456"/>
      <c r="Z203" s="456"/>
      <c r="AC203" s="455"/>
      <c r="AD203" s="456"/>
      <c r="AE203" s="456"/>
      <c r="AH203" s="455"/>
      <c r="AI203" s="456"/>
      <c r="AJ203" s="456"/>
      <c r="AM203" s="455"/>
      <c r="AN203" s="456"/>
      <c r="AO203" s="456"/>
      <c r="AR203" s="455"/>
      <c r="AS203" s="456"/>
      <c r="AT203" s="456"/>
      <c r="AW203" s="455"/>
      <c r="AX203" s="456"/>
      <c r="AY203" s="456"/>
    </row>
    <row r="204" spans="1:51" x14ac:dyDescent="0.2">
      <c r="A204" s="447">
        <f t="shared" si="2"/>
        <v>202</v>
      </c>
      <c r="B204" s="462">
        <v>524</v>
      </c>
      <c r="C204" s="458" t="s">
        <v>595</v>
      </c>
      <c r="D204" s="455">
        <v>0</v>
      </c>
      <c r="E204" s="456"/>
      <c r="F204" s="456"/>
      <c r="G204" s="452">
        <v>37987</v>
      </c>
      <c r="H204" s="453">
        <v>40178</v>
      </c>
      <c r="I204" s="455">
        <v>0.01</v>
      </c>
      <c r="J204" s="456"/>
      <c r="K204" s="456"/>
      <c r="L204" s="452">
        <v>40179</v>
      </c>
      <c r="N204" s="455"/>
      <c r="O204" s="456"/>
      <c r="P204" s="456"/>
      <c r="S204" s="455"/>
      <c r="T204" s="456"/>
      <c r="U204" s="456"/>
      <c r="X204" s="455"/>
      <c r="Y204" s="456"/>
      <c r="Z204" s="456"/>
      <c r="AC204" s="455"/>
      <c r="AD204" s="456"/>
      <c r="AE204" s="456"/>
      <c r="AH204" s="455"/>
      <c r="AI204" s="456"/>
      <c r="AJ204" s="456"/>
      <c r="AM204" s="455"/>
      <c r="AN204" s="456"/>
      <c r="AO204" s="456"/>
      <c r="AR204" s="455"/>
      <c r="AS204" s="456"/>
      <c r="AT204" s="456"/>
      <c r="AW204" s="455"/>
      <c r="AX204" s="456"/>
      <c r="AY204" s="456"/>
    </row>
    <row r="205" spans="1:51" x14ac:dyDescent="0.2">
      <c r="A205" s="447">
        <f t="shared" si="2"/>
        <v>203</v>
      </c>
      <c r="B205" s="462">
        <v>602</v>
      </c>
      <c r="C205" s="458" t="s">
        <v>500</v>
      </c>
      <c r="D205" s="459">
        <v>0</v>
      </c>
      <c r="E205" s="460"/>
      <c r="F205" s="460"/>
      <c r="G205" s="452">
        <v>37987</v>
      </c>
      <c r="H205" s="453">
        <v>38352</v>
      </c>
      <c r="I205" s="455">
        <v>0.01</v>
      </c>
      <c r="J205" s="456"/>
      <c r="K205" s="456"/>
      <c r="L205" s="452">
        <v>38353</v>
      </c>
      <c r="N205" s="455"/>
      <c r="O205" s="456"/>
      <c r="P205" s="456"/>
      <c r="S205" s="455"/>
      <c r="T205" s="456"/>
      <c r="U205" s="456"/>
      <c r="X205" s="455"/>
      <c r="Y205" s="456"/>
      <c r="Z205" s="456"/>
      <c r="AC205" s="455"/>
      <c r="AD205" s="456"/>
      <c r="AE205" s="456"/>
      <c r="AH205" s="455"/>
      <c r="AI205" s="456"/>
      <c r="AJ205" s="456"/>
      <c r="AM205" s="455"/>
      <c r="AN205" s="456"/>
      <c r="AO205" s="456"/>
      <c r="AR205" s="455"/>
      <c r="AS205" s="456"/>
      <c r="AT205" s="456"/>
      <c r="AW205" s="455"/>
      <c r="AX205" s="456"/>
      <c r="AY205" s="456"/>
    </row>
    <row r="206" spans="1:51" x14ac:dyDescent="0.2">
      <c r="A206" s="461">
        <f t="shared" si="2"/>
        <v>204</v>
      </c>
      <c r="B206" s="462">
        <v>556</v>
      </c>
      <c r="C206" s="458" t="s">
        <v>1615</v>
      </c>
      <c r="D206" s="459">
        <v>1.4999999999999999E-2</v>
      </c>
      <c r="E206" s="460"/>
      <c r="F206" s="460"/>
      <c r="G206" s="452">
        <v>37987</v>
      </c>
      <c r="I206" s="455"/>
      <c r="J206" s="456"/>
      <c r="K206" s="456"/>
      <c r="N206" s="455"/>
      <c r="O206" s="456"/>
      <c r="P206" s="456"/>
      <c r="S206" s="455"/>
      <c r="T206" s="456"/>
      <c r="U206" s="456"/>
      <c r="X206" s="455"/>
      <c r="Y206" s="456"/>
      <c r="Z206" s="456"/>
      <c r="AC206" s="455"/>
      <c r="AD206" s="456"/>
      <c r="AE206" s="456"/>
      <c r="AH206" s="455"/>
      <c r="AI206" s="456"/>
      <c r="AJ206" s="456"/>
      <c r="AM206" s="455"/>
      <c r="AN206" s="456"/>
      <c r="AO206" s="456"/>
      <c r="AR206" s="455"/>
      <c r="AS206" s="456"/>
      <c r="AT206" s="456"/>
      <c r="AW206" s="455"/>
      <c r="AX206" s="456"/>
      <c r="AY206" s="456"/>
    </row>
    <row r="207" spans="1:51" x14ac:dyDescent="0.2">
      <c r="A207" s="447">
        <f t="shared" si="2"/>
        <v>205</v>
      </c>
      <c r="B207" s="462">
        <v>525</v>
      </c>
      <c r="C207" s="458" t="s">
        <v>199</v>
      </c>
      <c r="D207" s="459">
        <v>0.01</v>
      </c>
      <c r="E207" s="460"/>
      <c r="F207" s="460"/>
      <c r="G207" s="452">
        <v>37987</v>
      </c>
      <c r="I207" s="455"/>
      <c r="J207" s="456"/>
      <c r="K207" s="456"/>
      <c r="N207" s="455"/>
      <c r="O207" s="456"/>
      <c r="P207" s="456"/>
      <c r="S207" s="455"/>
      <c r="T207" s="456"/>
      <c r="U207" s="456"/>
      <c r="X207" s="455"/>
      <c r="Y207" s="456"/>
      <c r="Z207" s="456"/>
      <c r="AC207" s="455"/>
      <c r="AD207" s="456"/>
      <c r="AE207" s="456"/>
      <c r="AH207" s="455"/>
      <c r="AI207" s="456"/>
      <c r="AJ207" s="456"/>
      <c r="AM207" s="455"/>
      <c r="AN207" s="456"/>
      <c r="AO207" s="456"/>
      <c r="AR207" s="455"/>
      <c r="AS207" s="456"/>
      <c r="AT207" s="456"/>
      <c r="AW207" s="455"/>
      <c r="AX207" s="456"/>
      <c r="AY207" s="456"/>
    </row>
    <row r="208" spans="1:51" x14ac:dyDescent="0.2">
      <c r="A208" s="447">
        <f t="shared" si="2"/>
        <v>206</v>
      </c>
      <c r="B208" s="462">
        <v>540</v>
      </c>
      <c r="C208" s="457" t="s">
        <v>200</v>
      </c>
      <c r="D208" s="455">
        <v>0.02</v>
      </c>
      <c r="E208" s="456"/>
      <c r="F208" s="456"/>
      <c r="G208" s="452">
        <v>37987</v>
      </c>
      <c r="I208" s="455"/>
      <c r="J208" s="456"/>
      <c r="K208" s="456"/>
      <c r="N208" s="455"/>
      <c r="O208" s="456"/>
      <c r="P208" s="456"/>
      <c r="S208" s="455"/>
      <c r="T208" s="456"/>
      <c r="U208" s="456"/>
      <c r="X208" s="455"/>
      <c r="Y208" s="456"/>
      <c r="Z208" s="456"/>
      <c r="AC208" s="455"/>
      <c r="AD208" s="456"/>
      <c r="AE208" s="456"/>
      <c r="AH208" s="455"/>
      <c r="AI208" s="456"/>
      <c r="AJ208" s="456"/>
      <c r="AM208" s="455"/>
      <c r="AN208" s="456"/>
      <c r="AO208" s="456"/>
      <c r="AR208" s="455"/>
      <c r="AS208" s="456"/>
      <c r="AT208" s="456"/>
      <c r="AW208" s="455"/>
      <c r="AX208" s="456"/>
      <c r="AY208" s="456"/>
    </row>
    <row r="209" spans="1:53" x14ac:dyDescent="0.2">
      <c r="A209" s="447">
        <f t="shared" si="2"/>
        <v>207</v>
      </c>
      <c r="B209" s="462">
        <v>562</v>
      </c>
      <c r="C209" s="457" t="s">
        <v>958</v>
      </c>
      <c r="D209" s="455">
        <v>0.02</v>
      </c>
      <c r="E209" s="456"/>
      <c r="F209" s="456"/>
      <c r="G209" s="452">
        <v>37987</v>
      </c>
      <c r="I209" s="455"/>
      <c r="J209" s="456"/>
      <c r="K209" s="456"/>
      <c r="N209" s="455"/>
      <c r="O209" s="456"/>
      <c r="P209" s="456"/>
      <c r="S209" s="455"/>
      <c r="T209" s="456"/>
      <c r="U209" s="456"/>
      <c r="X209" s="455"/>
      <c r="Y209" s="456"/>
      <c r="Z209" s="456"/>
      <c r="AC209" s="455"/>
      <c r="AD209" s="456"/>
      <c r="AE209" s="456"/>
      <c r="AH209" s="455"/>
      <c r="AI209" s="456"/>
      <c r="AJ209" s="456"/>
      <c r="AM209" s="455"/>
      <c r="AN209" s="456"/>
      <c r="AO209" s="456"/>
      <c r="AR209" s="455"/>
      <c r="AS209" s="456"/>
      <c r="AT209" s="456"/>
      <c r="AW209" s="455"/>
      <c r="AX209" s="456"/>
      <c r="AY209" s="456"/>
    </row>
    <row r="210" spans="1:53" x14ac:dyDescent="0.2">
      <c r="A210" s="461">
        <f t="shared" si="2"/>
        <v>208</v>
      </c>
      <c r="B210" s="462">
        <v>547</v>
      </c>
      <c r="C210" s="458" t="s">
        <v>1616</v>
      </c>
      <c r="D210" s="455">
        <v>0.01</v>
      </c>
      <c r="E210" s="456"/>
      <c r="F210" s="456"/>
      <c r="G210" s="452">
        <v>37987</v>
      </c>
      <c r="I210" s="455"/>
      <c r="J210" s="456"/>
      <c r="K210" s="456"/>
      <c r="N210" s="455"/>
      <c r="O210" s="456"/>
      <c r="P210" s="456"/>
      <c r="S210" s="455"/>
      <c r="T210" s="456"/>
      <c r="U210" s="456"/>
      <c r="X210" s="455"/>
      <c r="Y210" s="456"/>
      <c r="Z210" s="456"/>
      <c r="AC210" s="455"/>
      <c r="AD210" s="456"/>
      <c r="AE210" s="456"/>
      <c r="AH210" s="455"/>
      <c r="AI210" s="456"/>
      <c r="AJ210" s="456"/>
      <c r="AM210" s="455"/>
      <c r="AN210" s="456"/>
      <c r="AO210" s="456"/>
      <c r="AR210" s="455"/>
      <c r="AS210" s="456"/>
      <c r="AT210" s="456"/>
      <c r="AW210" s="455"/>
      <c r="AX210" s="456"/>
      <c r="AY210" s="456"/>
    </row>
    <row r="211" spans="1:53" x14ac:dyDescent="0.2">
      <c r="A211" s="447">
        <f t="shared" si="2"/>
        <v>209</v>
      </c>
      <c r="B211" s="462">
        <v>717</v>
      </c>
      <c r="C211" s="458" t="s">
        <v>1598</v>
      </c>
      <c r="D211" s="455">
        <v>0</v>
      </c>
      <c r="E211" s="456"/>
      <c r="F211" s="456"/>
      <c r="G211" s="452">
        <v>37987</v>
      </c>
      <c r="H211" s="453">
        <v>42735</v>
      </c>
      <c r="I211" s="455">
        <v>0.01</v>
      </c>
      <c r="J211" s="456"/>
      <c r="K211" s="456"/>
      <c r="L211" s="452">
        <v>42736</v>
      </c>
      <c r="N211" s="455"/>
      <c r="O211" s="456"/>
      <c r="P211" s="456"/>
      <c r="S211" s="455"/>
      <c r="T211" s="456"/>
      <c r="U211" s="456"/>
      <c r="X211" s="455"/>
      <c r="Y211" s="456"/>
      <c r="Z211" s="456"/>
      <c r="AC211" s="455"/>
      <c r="AD211" s="456"/>
      <c r="AE211" s="456"/>
      <c r="AH211" s="455"/>
      <c r="AI211" s="456"/>
      <c r="AJ211" s="456"/>
      <c r="AM211" s="455"/>
      <c r="AN211" s="456"/>
      <c r="AO211" s="456"/>
      <c r="AR211" s="455"/>
      <c r="AS211" s="456"/>
      <c r="AT211" s="456"/>
      <c r="AW211" s="455"/>
      <c r="AX211" s="456"/>
      <c r="AY211" s="456"/>
    </row>
    <row r="212" spans="1:53" x14ac:dyDescent="0.2">
      <c r="A212" s="447">
        <f t="shared" si="2"/>
        <v>210</v>
      </c>
      <c r="B212" s="462">
        <v>561</v>
      </c>
      <c r="C212" s="457" t="s">
        <v>201</v>
      </c>
      <c r="D212" s="455">
        <v>0.01</v>
      </c>
      <c r="E212" s="456"/>
      <c r="F212" s="456"/>
      <c r="G212" s="452">
        <v>37987</v>
      </c>
      <c r="I212" s="455"/>
      <c r="J212" s="456"/>
      <c r="K212" s="456"/>
      <c r="N212" s="455"/>
      <c r="O212" s="456"/>
      <c r="P212" s="456"/>
      <c r="S212" s="455"/>
      <c r="T212" s="456"/>
      <c r="U212" s="456"/>
      <c r="X212" s="455"/>
      <c r="Y212" s="456"/>
      <c r="Z212" s="456"/>
      <c r="AC212" s="455"/>
      <c r="AD212" s="456"/>
      <c r="AE212" s="456"/>
      <c r="AH212" s="455"/>
      <c r="AI212" s="456"/>
      <c r="AJ212" s="456"/>
      <c r="AM212" s="455"/>
      <c r="AN212" s="456"/>
      <c r="AO212" s="456"/>
      <c r="AR212" s="455"/>
      <c r="AS212" s="456"/>
      <c r="AT212" s="456"/>
      <c r="AW212" s="455"/>
      <c r="AX212" s="456"/>
      <c r="AY212" s="456"/>
    </row>
    <row r="213" spans="1:53" x14ac:dyDescent="0.2">
      <c r="A213" s="447">
        <f t="shared" si="2"/>
        <v>211</v>
      </c>
      <c r="B213" s="462">
        <v>677</v>
      </c>
      <c r="C213" s="458" t="s">
        <v>1509</v>
      </c>
      <c r="D213" s="455">
        <v>0</v>
      </c>
      <c r="E213" s="456"/>
      <c r="F213" s="456"/>
      <c r="G213" s="452">
        <v>37987</v>
      </c>
      <c r="H213" s="453">
        <v>42369</v>
      </c>
      <c r="I213" s="455">
        <v>0.01</v>
      </c>
      <c r="J213" s="456"/>
      <c r="K213" s="456"/>
      <c r="L213" s="452">
        <v>42370</v>
      </c>
      <c r="N213" s="455"/>
      <c r="O213" s="456"/>
      <c r="P213" s="456"/>
      <c r="S213" s="455"/>
      <c r="T213" s="456"/>
      <c r="U213" s="456"/>
      <c r="X213" s="455"/>
      <c r="Y213" s="456"/>
      <c r="Z213" s="456"/>
      <c r="AC213" s="455"/>
      <c r="AD213" s="456"/>
      <c r="AE213" s="456"/>
      <c r="AH213" s="455"/>
      <c r="AI213" s="456"/>
      <c r="AJ213" s="456"/>
      <c r="AM213" s="455"/>
      <c r="AN213" s="456"/>
      <c r="AO213" s="456"/>
      <c r="AR213" s="455"/>
      <c r="AS213" s="456"/>
      <c r="AT213" s="456"/>
      <c r="AW213" s="455"/>
      <c r="AX213" s="456"/>
      <c r="AY213" s="456"/>
    </row>
    <row r="214" spans="1:53" x14ac:dyDescent="0.2">
      <c r="A214" s="461">
        <f t="shared" si="2"/>
        <v>212</v>
      </c>
      <c r="B214" s="462">
        <v>539</v>
      </c>
      <c r="C214" s="458" t="s">
        <v>1617</v>
      </c>
      <c r="D214" s="455">
        <v>1.4999999999999999E-2</v>
      </c>
      <c r="E214" s="456"/>
      <c r="F214" s="456"/>
      <c r="G214" s="452">
        <v>37987</v>
      </c>
      <c r="H214" s="453">
        <v>42551</v>
      </c>
      <c r="I214" s="455">
        <v>0.02</v>
      </c>
      <c r="J214" s="456"/>
      <c r="K214" s="456"/>
      <c r="L214" s="452">
        <v>42552</v>
      </c>
      <c r="N214" s="455"/>
      <c r="O214" s="456"/>
      <c r="P214" s="456"/>
      <c r="S214" s="455"/>
      <c r="T214" s="456"/>
      <c r="U214" s="456"/>
      <c r="X214" s="455"/>
      <c r="Y214" s="456"/>
      <c r="Z214" s="456"/>
      <c r="AC214" s="455"/>
      <c r="AD214" s="456"/>
      <c r="AE214" s="456"/>
      <c r="AH214" s="455"/>
      <c r="AI214" s="456"/>
      <c r="AJ214" s="456"/>
      <c r="AM214" s="455"/>
      <c r="AN214" s="456"/>
      <c r="AO214" s="456"/>
      <c r="AR214" s="455"/>
      <c r="AS214" s="456"/>
      <c r="AT214" s="456"/>
      <c r="AW214" s="455"/>
      <c r="AX214" s="456"/>
      <c r="AY214" s="456"/>
    </row>
    <row r="215" spans="1:53" x14ac:dyDescent="0.2">
      <c r="A215" s="461">
        <f t="shared" si="2"/>
        <v>213</v>
      </c>
      <c r="B215" s="462">
        <v>546</v>
      </c>
      <c r="C215" s="458" t="s">
        <v>1577</v>
      </c>
      <c r="D215" s="455">
        <v>1.4999999999999999E-2</v>
      </c>
      <c r="E215" s="456"/>
      <c r="F215" s="456"/>
      <c r="G215" s="452">
        <v>37987</v>
      </c>
      <c r="I215" s="455"/>
      <c r="J215" s="456"/>
      <c r="K215" s="456"/>
      <c r="N215" s="455"/>
      <c r="O215" s="456"/>
      <c r="P215" s="456"/>
      <c r="S215" s="455"/>
      <c r="T215" s="456"/>
      <c r="U215" s="456"/>
      <c r="X215" s="455"/>
      <c r="Y215" s="456"/>
      <c r="Z215" s="456"/>
      <c r="AC215" s="455"/>
      <c r="AD215" s="456"/>
      <c r="AE215" s="456"/>
      <c r="AH215" s="455"/>
      <c r="AI215" s="456"/>
      <c r="AJ215" s="456"/>
      <c r="AM215" s="455"/>
      <c r="AN215" s="456"/>
      <c r="AO215" s="456"/>
      <c r="AR215" s="455"/>
      <c r="AS215" s="456"/>
      <c r="AT215" s="456"/>
      <c r="AW215" s="455"/>
      <c r="AX215" s="456"/>
      <c r="AY215" s="456"/>
    </row>
    <row r="216" spans="1:53" s="763" customFormat="1" x14ac:dyDescent="0.2">
      <c r="A216" s="756">
        <f t="shared" si="2"/>
        <v>214</v>
      </c>
      <c r="B216" s="777">
        <v>563</v>
      </c>
      <c r="C216" s="778" t="s">
        <v>1665</v>
      </c>
      <c r="D216" s="759">
        <v>1.4999999999999999E-2</v>
      </c>
      <c r="E216" s="760"/>
      <c r="F216" s="760"/>
      <c r="G216" s="761">
        <v>37987</v>
      </c>
      <c r="H216" s="762"/>
      <c r="I216" s="759"/>
      <c r="J216" s="760"/>
      <c r="K216" s="760"/>
      <c r="L216" s="761"/>
      <c r="M216" s="762"/>
      <c r="N216" s="759"/>
      <c r="O216" s="760"/>
      <c r="P216" s="760"/>
      <c r="Q216" s="761"/>
      <c r="R216" s="762"/>
      <c r="S216" s="759"/>
      <c r="T216" s="760"/>
      <c r="U216" s="760"/>
      <c r="V216" s="761"/>
      <c r="W216" s="762"/>
      <c r="X216" s="759"/>
      <c r="Y216" s="760"/>
      <c r="Z216" s="760"/>
      <c r="AA216" s="761"/>
      <c r="AB216" s="762"/>
      <c r="AC216" s="759"/>
      <c r="AD216" s="760"/>
      <c r="AE216" s="760"/>
      <c r="AF216" s="761"/>
      <c r="AG216" s="762"/>
      <c r="AH216" s="759"/>
      <c r="AI216" s="760"/>
      <c r="AJ216" s="760"/>
      <c r="AK216" s="761"/>
      <c r="AL216" s="762"/>
      <c r="AM216" s="759"/>
      <c r="AN216" s="760"/>
      <c r="AO216" s="760"/>
      <c r="AP216" s="761"/>
      <c r="AQ216" s="762"/>
      <c r="AR216" s="759"/>
      <c r="AS216" s="760"/>
      <c r="AT216" s="760"/>
      <c r="AU216" s="761"/>
      <c r="AV216" s="762"/>
      <c r="AW216" s="759"/>
      <c r="AX216" s="760"/>
      <c r="AY216" s="760"/>
      <c r="AZ216" s="761"/>
      <c r="BA216" s="762"/>
    </row>
    <row r="217" spans="1:53" x14ac:dyDescent="0.2">
      <c r="A217" s="447">
        <f t="shared" si="2"/>
        <v>215</v>
      </c>
      <c r="B217" s="462">
        <v>549</v>
      </c>
      <c r="C217" s="457" t="s">
        <v>204</v>
      </c>
      <c r="D217" s="455">
        <v>0.01</v>
      </c>
      <c r="E217" s="456"/>
      <c r="F217" s="456"/>
      <c r="G217" s="452">
        <v>37987</v>
      </c>
      <c r="I217" s="455"/>
      <c r="J217" s="456"/>
      <c r="K217" s="456"/>
      <c r="N217" s="455"/>
      <c r="O217" s="456"/>
      <c r="P217" s="456"/>
      <c r="S217" s="455"/>
      <c r="T217" s="456"/>
      <c r="U217" s="456"/>
      <c r="X217" s="455"/>
      <c r="Y217" s="456"/>
      <c r="Z217" s="456"/>
      <c r="AC217" s="455"/>
      <c r="AD217" s="456"/>
      <c r="AE217" s="456"/>
      <c r="AH217" s="455"/>
      <c r="AI217" s="456"/>
      <c r="AJ217" s="456"/>
      <c r="AM217" s="455"/>
      <c r="AN217" s="456"/>
      <c r="AO217" s="456"/>
      <c r="AR217" s="455"/>
      <c r="AS217" s="456"/>
      <c r="AT217" s="456"/>
      <c r="AW217" s="455"/>
      <c r="AX217" s="456"/>
      <c r="AY217" s="456"/>
    </row>
    <row r="218" spans="1:53" x14ac:dyDescent="0.2">
      <c r="A218" s="447">
        <f t="shared" si="2"/>
        <v>216</v>
      </c>
      <c r="B218" s="462">
        <v>550</v>
      </c>
      <c r="C218" s="457" t="s">
        <v>205</v>
      </c>
      <c r="D218" s="459">
        <v>0.02</v>
      </c>
      <c r="E218" s="460"/>
      <c r="F218" s="460"/>
      <c r="G218" s="452">
        <v>37987</v>
      </c>
      <c r="I218" s="455"/>
      <c r="J218" s="456"/>
      <c r="K218" s="456"/>
      <c r="N218" s="455"/>
      <c r="O218" s="456"/>
      <c r="P218" s="456"/>
      <c r="S218" s="455"/>
      <c r="T218" s="456"/>
      <c r="U218" s="456"/>
      <c r="X218" s="455"/>
      <c r="Y218" s="456"/>
      <c r="Z218" s="456"/>
      <c r="AC218" s="455"/>
      <c r="AD218" s="456"/>
      <c r="AE218" s="456"/>
      <c r="AH218" s="455"/>
      <c r="AI218" s="456"/>
      <c r="AJ218" s="456"/>
      <c r="AM218" s="455"/>
      <c r="AN218" s="456"/>
      <c r="AO218" s="456"/>
      <c r="AR218" s="455"/>
      <c r="AS218" s="456"/>
      <c r="AT218" s="456"/>
      <c r="AW218" s="455"/>
      <c r="AX218" s="456"/>
      <c r="AY218" s="456"/>
    </row>
    <row r="219" spans="1:53" x14ac:dyDescent="0.2">
      <c r="A219" s="447">
        <f t="shared" si="2"/>
        <v>217</v>
      </c>
      <c r="B219" s="462">
        <v>565</v>
      </c>
      <c r="C219" s="458" t="s">
        <v>1408</v>
      </c>
      <c r="D219" s="455">
        <v>0.01</v>
      </c>
      <c r="E219" s="456"/>
      <c r="F219" s="456"/>
      <c r="G219" s="452">
        <v>37987</v>
      </c>
      <c r="I219" s="455"/>
      <c r="J219" s="456"/>
      <c r="K219" s="456"/>
      <c r="N219" s="455"/>
      <c r="O219" s="456"/>
      <c r="P219" s="456"/>
      <c r="S219" s="455"/>
      <c r="T219" s="456"/>
      <c r="U219" s="456"/>
      <c r="X219" s="455"/>
      <c r="Y219" s="456"/>
      <c r="Z219" s="456"/>
      <c r="AC219" s="455"/>
      <c r="AD219" s="456"/>
      <c r="AE219" s="456"/>
      <c r="AH219" s="455"/>
      <c r="AI219" s="456"/>
      <c r="AJ219" s="456"/>
      <c r="AM219" s="455"/>
      <c r="AN219" s="456"/>
      <c r="AO219" s="456"/>
      <c r="AR219" s="455"/>
      <c r="AS219" s="456"/>
      <c r="AT219" s="456"/>
      <c r="AW219" s="455"/>
      <c r="AX219" s="456"/>
      <c r="AY219" s="456"/>
    </row>
    <row r="220" spans="1:53" x14ac:dyDescent="0.2">
      <c r="A220" s="447">
        <f t="shared" si="2"/>
        <v>218</v>
      </c>
      <c r="B220" s="462">
        <v>621</v>
      </c>
      <c r="C220" s="458" t="s">
        <v>503</v>
      </c>
      <c r="D220" s="455">
        <v>0</v>
      </c>
      <c r="E220" s="456"/>
      <c r="F220" s="456"/>
      <c r="G220" s="452">
        <v>37987</v>
      </c>
      <c r="H220" s="453">
        <v>41639</v>
      </c>
      <c r="I220" s="455">
        <v>0.01</v>
      </c>
      <c r="J220" s="456"/>
      <c r="K220" s="456"/>
      <c r="L220" s="452">
        <v>41640</v>
      </c>
      <c r="N220" s="455"/>
      <c r="O220" s="456"/>
      <c r="P220" s="456"/>
      <c r="S220" s="455"/>
      <c r="T220" s="456"/>
      <c r="U220" s="456"/>
      <c r="X220" s="455"/>
      <c r="Y220" s="456"/>
      <c r="Z220" s="456"/>
      <c r="AC220" s="455"/>
      <c r="AD220" s="456"/>
      <c r="AE220" s="456"/>
      <c r="AH220" s="455"/>
      <c r="AI220" s="456"/>
      <c r="AJ220" s="456"/>
      <c r="AM220" s="455"/>
      <c r="AN220" s="456"/>
      <c r="AO220" s="456"/>
      <c r="AR220" s="455"/>
      <c r="AS220" s="456"/>
      <c r="AT220" s="456"/>
      <c r="AW220" s="455"/>
      <c r="AX220" s="456"/>
      <c r="AY220" s="456"/>
    </row>
    <row r="221" spans="1:53" x14ac:dyDescent="0.2">
      <c r="A221" s="447">
        <f t="shared" si="2"/>
        <v>219</v>
      </c>
      <c r="B221" s="462">
        <v>570</v>
      </c>
      <c r="C221" s="457" t="s">
        <v>206</v>
      </c>
      <c r="D221" s="455">
        <v>0.01</v>
      </c>
      <c r="E221" s="456"/>
      <c r="F221" s="456"/>
      <c r="G221" s="452">
        <v>37987</v>
      </c>
      <c r="H221" s="453">
        <v>39082</v>
      </c>
      <c r="I221" s="455">
        <v>0.02</v>
      </c>
      <c r="J221" s="456"/>
      <c r="K221" s="456"/>
      <c r="L221" s="452">
        <v>39083</v>
      </c>
      <c r="N221" s="455"/>
      <c r="O221" s="456"/>
      <c r="P221" s="456"/>
      <c r="S221" s="455"/>
      <c r="T221" s="456"/>
      <c r="U221" s="456"/>
      <c r="X221" s="455"/>
      <c r="Y221" s="456"/>
      <c r="Z221" s="456"/>
      <c r="AC221" s="455"/>
      <c r="AD221" s="456"/>
      <c r="AE221" s="456"/>
      <c r="AH221" s="455"/>
      <c r="AI221" s="456"/>
      <c r="AJ221" s="456"/>
      <c r="AM221" s="455"/>
      <c r="AN221" s="456"/>
      <c r="AO221" s="456"/>
      <c r="AR221" s="455"/>
      <c r="AS221" s="456"/>
      <c r="AT221" s="456"/>
      <c r="AW221" s="455"/>
      <c r="AX221" s="456"/>
      <c r="AY221" s="456"/>
    </row>
    <row r="222" spans="1:53" x14ac:dyDescent="0.2">
      <c r="A222" s="447">
        <f t="shared" si="2"/>
        <v>220</v>
      </c>
      <c r="B222" s="462">
        <v>545</v>
      </c>
      <c r="C222" s="458" t="s">
        <v>1576</v>
      </c>
      <c r="D222" s="455">
        <v>0.01</v>
      </c>
      <c r="E222" s="456"/>
      <c r="F222" s="456"/>
      <c r="G222" s="452">
        <v>37987</v>
      </c>
      <c r="H222" s="453">
        <v>38352</v>
      </c>
      <c r="I222" s="455">
        <v>0.02</v>
      </c>
      <c r="J222" s="456"/>
      <c r="K222" s="456"/>
      <c r="L222" s="452">
        <v>38353</v>
      </c>
      <c r="N222" s="455"/>
      <c r="O222" s="456"/>
      <c r="P222" s="456"/>
      <c r="S222" s="455"/>
      <c r="T222" s="456"/>
      <c r="U222" s="456"/>
      <c r="X222" s="455"/>
      <c r="Y222" s="456"/>
      <c r="Z222" s="456"/>
      <c r="AC222" s="455"/>
      <c r="AD222" s="456"/>
      <c r="AE222" s="456"/>
      <c r="AH222" s="455"/>
      <c r="AI222" s="456"/>
      <c r="AJ222" s="456"/>
      <c r="AM222" s="455"/>
      <c r="AN222" s="456"/>
      <c r="AO222" s="456"/>
      <c r="AR222" s="455"/>
      <c r="AS222" s="456"/>
      <c r="AT222" s="456"/>
      <c r="AW222" s="455"/>
      <c r="AX222" s="456"/>
      <c r="AY222" s="456"/>
    </row>
    <row r="223" spans="1:53" x14ac:dyDescent="0.2">
      <c r="A223" s="447">
        <f t="shared" si="2"/>
        <v>221</v>
      </c>
      <c r="B223" s="462">
        <v>573</v>
      </c>
      <c r="C223" s="458" t="s">
        <v>1578</v>
      </c>
      <c r="D223" s="455">
        <v>1.4999999999999999E-2</v>
      </c>
      <c r="E223" s="456"/>
      <c r="F223" s="456"/>
      <c r="G223" s="452">
        <v>37987</v>
      </c>
      <c r="I223" s="455"/>
      <c r="J223" s="456"/>
      <c r="K223" s="456"/>
      <c r="N223" s="455"/>
      <c r="O223" s="456"/>
      <c r="P223" s="456"/>
      <c r="S223" s="455"/>
      <c r="T223" s="456"/>
      <c r="U223" s="456"/>
      <c r="X223" s="455"/>
      <c r="Y223" s="456"/>
      <c r="Z223" s="456"/>
      <c r="AC223" s="455"/>
      <c r="AD223" s="456"/>
      <c r="AE223" s="456"/>
      <c r="AH223" s="455"/>
      <c r="AI223" s="456"/>
      <c r="AJ223" s="456"/>
      <c r="AM223" s="455"/>
      <c r="AN223" s="456"/>
      <c r="AO223" s="456"/>
      <c r="AR223" s="455"/>
      <c r="AS223" s="456"/>
      <c r="AT223" s="456"/>
      <c r="AW223" s="455"/>
      <c r="AX223" s="456"/>
      <c r="AY223" s="456"/>
    </row>
    <row r="224" spans="1:53" x14ac:dyDescent="0.2">
      <c r="A224" s="447">
        <f t="shared" si="2"/>
        <v>222</v>
      </c>
      <c r="B224" s="462">
        <v>624</v>
      </c>
      <c r="C224" s="458" t="s">
        <v>1441</v>
      </c>
      <c r="D224" s="455">
        <v>0</v>
      </c>
      <c r="E224" s="456"/>
      <c r="F224" s="456"/>
      <c r="G224" s="452">
        <v>37987</v>
      </c>
      <c r="H224" s="453">
        <v>41729</v>
      </c>
      <c r="I224" s="455">
        <v>5.0000000000000001E-3</v>
      </c>
      <c r="J224" s="456"/>
      <c r="K224" s="456"/>
      <c r="L224" s="452">
        <v>41730</v>
      </c>
      <c r="N224" s="455"/>
      <c r="O224" s="456"/>
      <c r="P224" s="456"/>
      <c r="S224" s="455"/>
      <c r="T224" s="456"/>
      <c r="U224" s="456"/>
      <c r="X224" s="455"/>
      <c r="Y224" s="456"/>
      <c r="Z224" s="456"/>
      <c r="AC224" s="455"/>
      <c r="AD224" s="456"/>
      <c r="AE224" s="456"/>
      <c r="AH224" s="455"/>
      <c r="AI224" s="456"/>
      <c r="AJ224" s="456"/>
      <c r="AM224" s="455"/>
      <c r="AN224" s="456"/>
      <c r="AO224" s="456"/>
      <c r="AR224" s="455"/>
      <c r="AS224" s="456"/>
      <c r="AT224" s="456"/>
      <c r="AW224" s="455"/>
      <c r="AX224" s="456"/>
      <c r="AY224" s="456"/>
    </row>
    <row r="225" spans="1:53" x14ac:dyDescent="0.2">
      <c r="A225" s="447">
        <f t="shared" si="2"/>
        <v>223</v>
      </c>
      <c r="B225" s="462">
        <v>580</v>
      </c>
      <c r="C225" s="457" t="s">
        <v>1473</v>
      </c>
      <c r="D225" s="455">
        <v>0.02</v>
      </c>
      <c r="E225" s="456"/>
      <c r="F225" s="456"/>
      <c r="G225" s="452">
        <v>37987</v>
      </c>
      <c r="H225" s="453">
        <v>40359</v>
      </c>
      <c r="I225" s="455">
        <v>2.5000000000000001E-2</v>
      </c>
      <c r="J225" s="456"/>
      <c r="K225" s="456"/>
      <c r="L225" s="452">
        <v>40360</v>
      </c>
      <c r="N225" s="455"/>
      <c r="O225" s="456"/>
      <c r="P225" s="456"/>
      <c r="S225" s="455"/>
      <c r="T225" s="456"/>
      <c r="U225" s="456"/>
      <c r="X225" s="455"/>
      <c r="Y225" s="456"/>
      <c r="Z225" s="456"/>
      <c r="AC225" s="455"/>
      <c r="AD225" s="456"/>
      <c r="AE225" s="456"/>
      <c r="AH225" s="455"/>
      <c r="AI225" s="456"/>
      <c r="AJ225" s="456"/>
      <c r="AM225" s="455"/>
      <c r="AN225" s="456"/>
      <c r="AO225" s="456"/>
      <c r="AR225" s="455"/>
      <c r="AS225" s="456"/>
      <c r="AT225" s="456"/>
      <c r="AW225" s="455"/>
      <c r="AX225" s="456"/>
      <c r="AY225" s="456"/>
    </row>
    <row r="226" spans="1:53" x14ac:dyDescent="0.2">
      <c r="A226" s="447">
        <f t="shared" si="2"/>
        <v>224</v>
      </c>
      <c r="B226" s="462">
        <v>585</v>
      </c>
      <c r="C226" s="458" t="s">
        <v>207</v>
      </c>
      <c r="D226" s="455">
        <v>1.9E-2</v>
      </c>
      <c r="E226" s="456"/>
      <c r="F226" s="456"/>
      <c r="G226" s="452">
        <v>37987</v>
      </c>
      <c r="H226" s="453">
        <v>42004</v>
      </c>
      <c r="I226" s="455">
        <v>2.5000000000000001E-2</v>
      </c>
      <c r="J226" s="456"/>
      <c r="K226" s="456"/>
      <c r="L226" s="452">
        <v>42005</v>
      </c>
      <c r="N226" s="455"/>
      <c r="O226" s="456"/>
      <c r="P226" s="456"/>
      <c r="S226" s="455"/>
      <c r="T226" s="456"/>
      <c r="U226" s="456"/>
      <c r="X226" s="455"/>
      <c r="Y226" s="456"/>
      <c r="Z226" s="456"/>
      <c r="AC226" s="455"/>
      <c r="AD226" s="456"/>
      <c r="AE226" s="456"/>
      <c r="AH226" s="455"/>
      <c r="AI226" s="456"/>
      <c r="AJ226" s="456"/>
      <c r="AM226" s="455"/>
      <c r="AN226" s="456"/>
      <c r="AO226" s="456"/>
      <c r="AR226" s="455"/>
      <c r="AS226" s="456"/>
      <c r="AT226" s="456"/>
      <c r="AW226" s="455"/>
      <c r="AX226" s="456"/>
      <c r="AY226" s="456"/>
    </row>
    <row r="227" spans="1:53" x14ac:dyDescent="0.2">
      <c r="A227" s="447">
        <f t="shared" si="2"/>
        <v>225</v>
      </c>
      <c r="B227" s="462">
        <v>590</v>
      </c>
      <c r="C227" s="457" t="s">
        <v>208</v>
      </c>
      <c r="D227" s="459">
        <v>1.4999999999999999E-2</v>
      </c>
      <c r="E227" s="460"/>
      <c r="F227" s="460"/>
      <c r="G227" s="452">
        <v>37987</v>
      </c>
      <c r="I227" s="455"/>
      <c r="J227" s="456"/>
      <c r="K227" s="456"/>
      <c r="N227" s="455"/>
      <c r="O227" s="456"/>
      <c r="P227" s="456"/>
      <c r="S227" s="455"/>
      <c r="T227" s="456"/>
      <c r="U227" s="456"/>
      <c r="X227" s="455"/>
      <c r="Y227" s="456"/>
      <c r="Z227" s="456"/>
      <c r="AC227" s="455"/>
      <c r="AD227" s="456"/>
      <c r="AE227" s="456"/>
      <c r="AH227" s="455"/>
      <c r="AI227" s="456"/>
      <c r="AJ227" s="456"/>
      <c r="AM227" s="455"/>
      <c r="AN227" s="456"/>
      <c r="AO227" s="456"/>
      <c r="AR227" s="455"/>
      <c r="AS227" s="456"/>
      <c r="AT227" s="456"/>
      <c r="AW227" s="455"/>
      <c r="AX227" s="456"/>
      <c r="AY227" s="456"/>
    </row>
    <row r="228" spans="1:53" x14ac:dyDescent="0.2">
      <c r="A228" s="447">
        <f t="shared" si="2"/>
        <v>226</v>
      </c>
      <c r="B228" s="462">
        <v>589</v>
      </c>
      <c r="C228" s="457" t="s">
        <v>1314</v>
      </c>
      <c r="D228" s="459">
        <v>0</v>
      </c>
      <c r="E228" s="460"/>
      <c r="F228" s="460"/>
      <c r="G228" s="452">
        <v>37987</v>
      </c>
      <c r="H228" s="453">
        <v>39447</v>
      </c>
      <c r="I228" s="455">
        <v>1.4999999999999999E-2</v>
      </c>
      <c r="J228" s="456"/>
      <c r="K228" s="456"/>
      <c r="L228" s="452">
        <v>39448</v>
      </c>
      <c r="N228" s="455"/>
      <c r="O228" s="456"/>
      <c r="P228" s="456"/>
      <c r="S228" s="455"/>
      <c r="T228" s="456"/>
      <c r="U228" s="456"/>
      <c r="X228" s="455"/>
      <c r="Y228" s="456"/>
      <c r="Z228" s="456"/>
      <c r="AC228" s="455"/>
      <c r="AD228" s="456"/>
      <c r="AE228" s="456"/>
      <c r="AH228" s="455"/>
      <c r="AI228" s="456"/>
      <c r="AJ228" s="456"/>
      <c r="AM228" s="455"/>
      <c r="AN228" s="456"/>
      <c r="AO228" s="456"/>
      <c r="AR228" s="455"/>
      <c r="AS228" s="456"/>
      <c r="AT228" s="456"/>
      <c r="AW228" s="455"/>
      <c r="AX228" s="456"/>
      <c r="AY228" s="456"/>
    </row>
    <row r="229" spans="1:53" x14ac:dyDescent="0.2">
      <c r="A229" s="447">
        <f t="shared" si="2"/>
        <v>227</v>
      </c>
      <c r="B229" s="462">
        <v>600</v>
      </c>
      <c r="C229" s="457" t="s">
        <v>209</v>
      </c>
      <c r="D229" s="459">
        <v>0.02</v>
      </c>
      <c r="E229" s="460"/>
      <c r="F229" s="460"/>
      <c r="G229" s="452">
        <v>37987</v>
      </c>
      <c r="I229" s="455"/>
      <c r="J229" s="456"/>
      <c r="K229" s="456"/>
      <c r="N229" s="455"/>
      <c r="O229" s="456"/>
      <c r="P229" s="456"/>
      <c r="S229" s="455"/>
      <c r="T229" s="456"/>
      <c r="U229" s="456"/>
      <c r="X229" s="455"/>
      <c r="Y229" s="456"/>
      <c r="Z229" s="456"/>
      <c r="AC229" s="455"/>
      <c r="AD229" s="456"/>
      <c r="AE229" s="456"/>
      <c r="AH229" s="455"/>
      <c r="AI229" s="456"/>
      <c r="AJ229" s="456"/>
      <c r="AM229" s="455"/>
      <c r="AN229" s="456"/>
      <c r="AO229" s="456"/>
      <c r="AR229" s="455"/>
      <c r="AS229" s="456"/>
      <c r="AT229" s="456"/>
      <c r="AW229" s="455"/>
      <c r="AX229" s="456"/>
      <c r="AY229" s="456"/>
    </row>
    <row r="230" spans="1:53" x14ac:dyDescent="0.2">
      <c r="A230" s="461">
        <f t="shared" si="2"/>
        <v>228</v>
      </c>
      <c r="B230" s="462">
        <v>601</v>
      </c>
      <c r="C230" s="458" t="s">
        <v>210</v>
      </c>
      <c r="D230" s="459">
        <v>0.02</v>
      </c>
      <c r="E230" s="460"/>
      <c r="F230" s="460"/>
      <c r="G230" s="688">
        <v>37987</v>
      </c>
      <c r="H230" s="689"/>
      <c r="I230" s="459"/>
      <c r="J230" s="460"/>
      <c r="K230" s="460"/>
      <c r="L230" s="688"/>
      <c r="N230" s="455"/>
      <c r="O230" s="456"/>
      <c r="P230" s="456"/>
      <c r="S230" s="455"/>
      <c r="T230" s="456"/>
      <c r="U230" s="456"/>
      <c r="X230" s="455"/>
      <c r="Y230" s="456"/>
      <c r="Z230" s="456"/>
      <c r="AC230" s="455"/>
      <c r="AD230" s="456"/>
      <c r="AE230" s="456"/>
      <c r="AH230" s="455"/>
      <c r="AI230" s="456"/>
      <c r="AJ230" s="456"/>
      <c r="AM230" s="455"/>
      <c r="AN230" s="456"/>
      <c r="AO230" s="456"/>
      <c r="AR230" s="455"/>
      <c r="AS230" s="456"/>
      <c r="AT230" s="456"/>
      <c r="AW230" s="455"/>
      <c r="AX230" s="456"/>
      <c r="AY230" s="456"/>
    </row>
    <row r="231" spans="1:53" x14ac:dyDescent="0.2">
      <c r="A231" s="461">
        <f t="shared" si="2"/>
        <v>229</v>
      </c>
      <c r="B231" s="462">
        <v>608</v>
      </c>
      <c r="C231" s="458" t="s">
        <v>1579</v>
      </c>
      <c r="D231" s="455">
        <v>0</v>
      </c>
      <c r="E231" s="456"/>
      <c r="F231" s="456"/>
      <c r="G231" s="452">
        <v>37987</v>
      </c>
      <c r="H231" s="453">
        <v>42735</v>
      </c>
      <c r="I231" s="455">
        <v>0.01</v>
      </c>
      <c r="J231" s="456"/>
      <c r="K231" s="456"/>
      <c r="L231" s="452">
        <v>42736</v>
      </c>
      <c r="N231" s="455"/>
      <c r="O231" s="456"/>
      <c r="P231" s="456"/>
      <c r="S231" s="455"/>
      <c r="T231" s="456"/>
      <c r="U231" s="456"/>
      <c r="X231" s="455"/>
      <c r="Y231" s="456"/>
      <c r="Z231" s="456"/>
      <c r="AC231" s="455"/>
      <c r="AD231" s="456"/>
      <c r="AE231" s="456"/>
      <c r="AH231" s="455"/>
      <c r="AI231" s="456"/>
      <c r="AJ231" s="456"/>
      <c r="AM231" s="455"/>
      <c r="AN231" s="456"/>
      <c r="AO231" s="456"/>
      <c r="AR231" s="455"/>
      <c r="AS231" s="456"/>
      <c r="AT231" s="456"/>
      <c r="AW231" s="455"/>
      <c r="AX231" s="456"/>
      <c r="AY231" s="456"/>
    </row>
    <row r="232" spans="1:53" x14ac:dyDescent="0.2">
      <c r="A232" s="461">
        <f t="shared" si="2"/>
        <v>230</v>
      </c>
      <c r="B232" s="462">
        <v>606</v>
      </c>
      <c r="C232" s="457" t="s">
        <v>211</v>
      </c>
      <c r="D232" s="455">
        <v>0.01</v>
      </c>
      <c r="E232" s="456"/>
      <c r="F232" s="456"/>
      <c r="G232" s="452">
        <v>37987</v>
      </c>
      <c r="I232" s="455"/>
      <c r="J232" s="456"/>
      <c r="K232" s="456"/>
      <c r="N232" s="455"/>
      <c r="O232" s="456"/>
      <c r="P232" s="456"/>
      <c r="S232" s="455"/>
      <c r="T232" s="456"/>
      <c r="U232" s="456"/>
      <c r="X232" s="455"/>
      <c r="Y232" s="456"/>
      <c r="Z232" s="456"/>
      <c r="AC232" s="455"/>
      <c r="AD232" s="456"/>
      <c r="AE232" s="456"/>
      <c r="AH232" s="455"/>
      <c r="AI232" s="456"/>
      <c r="AJ232" s="456"/>
      <c r="AM232" s="455"/>
      <c r="AN232" s="456"/>
      <c r="AO232" s="456"/>
      <c r="AR232" s="455"/>
      <c r="AS232" s="456"/>
      <c r="AT232" s="456"/>
      <c r="AW232" s="455"/>
      <c r="AX232" s="456"/>
      <c r="AY232" s="456"/>
    </row>
    <row r="233" spans="1:53" x14ac:dyDescent="0.2">
      <c r="A233" s="447">
        <f t="shared" si="2"/>
        <v>231</v>
      </c>
      <c r="B233" s="462">
        <v>578</v>
      </c>
      <c r="C233" s="458" t="s">
        <v>501</v>
      </c>
      <c r="D233" s="455">
        <v>0</v>
      </c>
      <c r="E233" s="456"/>
      <c r="F233" s="456"/>
      <c r="G233" s="452">
        <v>37987</v>
      </c>
      <c r="H233" s="453">
        <v>38352</v>
      </c>
      <c r="I233" s="455">
        <v>0.01</v>
      </c>
      <c r="J233" s="456"/>
      <c r="K233" s="456"/>
      <c r="L233" s="452">
        <v>38353</v>
      </c>
      <c r="N233" s="455"/>
      <c r="O233" s="456"/>
      <c r="P233" s="456"/>
      <c r="S233" s="455"/>
      <c r="T233" s="456"/>
      <c r="U233" s="456"/>
      <c r="X233" s="455"/>
      <c r="Y233" s="456"/>
      <c r="Z233" s="456"/>
      <c r="AC233" s="455"/>
      <c r="AD233" s="456"/>
      <c r="AE233" s="456"/>
      <c r="AH233" s="455"/>
      <c r="AI233" s="456"/>
      <c r="AJ233" s="456"/>
      <c r="AM233" s="455"/>
      <c r="AN233" s="456"/>
      <c r="AO233" s="456"/>
      <c r="AR233" s="455"/>
      <c r="AS233" s="456"/>
      <c r="AT233" s="456"/>
      <c r="AW233" s="455"/>
      <c r="AX233" s="456"/>
      <c r="AY233" s="456"/>
    </row>
    <row r="234" spans="1:53" x14ac:dyDescent="0.2">
      <c r="A234" s="447">
        <f t="shared" si="2"/>
        <v>232</v>
      </c>
      <c r="B234" s="462">
        <v>609</v>
      </c>
      <c r="C234" s="458" t="s">
        <v>71</v>
      </c>
      <c r="D234" s="455">
        <v>1.7500000000000002E-2</v>
      </c>
      <c r="E234" s="456"/>
      <c r="F234" s="456"/>
      <c r="G234" s="452">
        <v>37987</v>
      </c>
      <c r="H234" s="453">
        <v>40543</v>
      </c>
      <c r="I234" s="455">
        <v>0.02</v>
      </c>
      <c r="J234" s="456"/>
      <c r="K234" s="456"/>
      <c r="L234" s="452">
        <v>40544</v>
      </c>
      <c r="N234" s="455"/>
      <c r="O234" s="456"/>
      <c r="P234" s="456"/>
      <c r="S234" s="455"/>
      <c r="T234" s="456"/>
      <c r="U234" s="456"/>
      <c r="X234" s="455"/>
      <c r="Y234" s="456"/>
      <c r="Z234" s="456"/>
      <c r="AC234" s="455"/>
      <c r="AD234" s="456"/>
      <c r="AE234" s="456"/>
      <c r="AH234" s="455"/>
      <c r="AI234" s="456"/>
      <c r="AJ234" s="456"/>
      <c r="AM234" s="455"/>
      <c r="AN234" s="456"/>
      <c r="AO234" s="456"/>
      <c r="AR234" s="455"/>
      <c r="AS234" s="456"/>
      <c r="AT234" s="456"/>
      <c r="AW234" s="455"/>
      <c r="AX234" s="456"/>
      <c r="AY234" s="456"/>
    </row>
    <row r="235" spans="1:53" x14ac:dyDescent="0.2">
      <c r="A235" s="447">
        <f t="shared" si="2"/>
        <v>233</v>
      </c>
      <c r="B235" s="462">
        <v>610</v>
      </c>
      <c r="C235" s="458" t="s">
        <v>930</v>
      </c>
      <c r="D235" s="455">
        <v>0.02</v>
      </c>
      <c r="E235" s="456"/>
      <c r="F235" s="456"/>
      <c r="G235" s="452">
        <v>37987</v>
      </c>
      <c r="I235" s="455"/>
      <c r="J235" s="456"/>
      <c r="K235" s="456"/>
      <c r="N235" s="455"/>
      <c r="O235" s="456"/>
      <c r="P235" s="456"/>
      <c r="S235" s="455"/>
      <c r="T235" s="456"/>
      <c r="U235" s="456"/>
      <c r="X235" s="455"/>
      <c r="Y235" s="456"/>
      <c r="Z235" s="456"/>
      <c r="AC235" s="455"/>
      <c r="AD235" s="456"/>
      <c r="AE235" s="456"/>
      <c r="AH235" s="455"/>
      <c r="AI235" s="456"/>
      <c r="AJ235" s="456"/>
      <c r="AM235" s="455"/>
      <c r="AN235" s="456"/>
      <c r="AO235" s="456"/>
      <c r="AR235" s="455"/>
      <c r="AS235" s="456"/>
      <c r="AT235" s="456"/>
      <c r="AW235" s="455"/>
      <c r="AX235" s="456"/>
      <c r="AY235" s="456"/>
    </row>
    <row r="236" spans="1:53" x14ac:dyDescent="0.2">
      <c r="A236" s="447">
        <f t="shared" si="2"/>
        <v>234</v>
      </c>
      <c r="B236" s="462">
        <v>581</v>
      </c>
      <c r="C236" s="458" t="s">
        <v>1478</v>
      </c>
      <c r="D236" s="455">
        <v>0</v>
      </c>
      <c r="E236" s="456"/>
      <c r="F236" s="456"/>
      <c r="G236" s="452">
        <v>37987</v>
      </c>
      <c r="H236" s="453">
        <v>38352</v>
      </c>
      <c r="I236" s="455">
        <v>1.4999999999999999E-2</v>
      </c>
      <c r="J236" s="456"/>
      <c r="K236" s="456"/>
      <c r="L236" s="452">
        <v>38353</v>
      </c>
      <c r="M236" s="453">
        <v>40908</v>
      </c>
      <c r="N236" s="455">
        <v>1.7500000000000002E-2</v>
      </c>
      <c r="O236" s="456"/>
      <c r="P236" s="456"/>
      <c r="Q236" s="452">
        <v>40909</v>
      </c>
      <c r="S236" s="455"/>
      <c r="T236" s="456"/>
      <c r="U236" s="456"/>
      <c r="X236" s="455"/>
      <c r="Y236" s="456"/>
      <c r="Z236" s="456"/>
      <c r="AC236" s="455"/>
      <c r="AD236" s="456"/>
      <c r="AE236" s="456"/>
      <c r="AH236" s="455"/>
      <c r="AI236" s="456"/>
      <c r="AJ236" s="456"/>
      <c r="AM236" s="455"/>
      <c r="AN236" s="456"/>
      <c r="AO236" s="456"/>
      <c r="AR236" s="455"/>
      <c r="AS236" s="456"/>
      <c r="AT236" s="456"/>
      <c r="AW236" s="455"/>
      <c r="AX236" s="456"/>
      <c r="AY236" s="456"/>
    </row>
    <row r="237" spans="1:53" x14ac:dyDescent="0.2">
      <c r="A237" s="447">
        <f t="shared" si="2"/>
        <v>235</v>
      </c>
      <c r="B237" s="462">
        <v>619</v>
      </c>
      <c r="C237" s="458" t="s">
        <v>1372</v>
      </c>
      <c r="D237" s="455">
        <v>0</v>
      </c>
      <c r="E237" s="456"/>
      <c r="F237" s="456"/>
      <c r="G237" s="452">
        <v>37987</v>
      </c>
      <c r="H237" s="453">
        <v>40359</v>
      </c>
      <c r="I237" s="455">
        <v>0.01</v>
      </c>
      <c r="J237" s="456"/>
      <c r="K237" s="456"/>
      <c r="L237" s="452">
        <v>40360</v>
      </c>
      <c r="N237" s="455"/>
      <c r="O237" s="456"/>
      <c r="P237" s="456"/>
      <c r="S237" s="455"/>
      <c r="T237" s="456"/>
      <c r="U237" s="456"/>
      <c r="X237" s="455"/>
      <c r="Y237" s="456"/>
      <c r="Z237" s="456"/>
      <c r="AC237" s="455"/>
      <c r="AD237" s="456"/>
      <c r="AE237" s="456"/>
      <c r="AH237" s="455"/>
      <c r="AI237" s="456"/>
      <c r="AJ237" s="456"/>
      <c r="AM237" s="455"/>
      <c r="AN237" s="456"/>
      <c r="AO237" s="456"/>
      <c r="AR237" s="455"/>
      <c r="AS237" s="456"/>
      <c r="AT237" s="456"/>
      <c r="AW237" s="455"/>
      <c r="AX237" s="456"/>
      <c r="AY237" s="456"/>
    </row>
    <row r="238" spans="1:53" x14ac:dyDescent="0.2">
      <c r="A238" s="447">
        <f t="shared" si="2"/>
        <v>236</v>
      </c>
      <c r="B238" s="462">
        <v>674</v>
      </c>
      <c r="C238" s="458" t="s">
        <v>1443</v>
      </c>
      <c r="D238" s="455">
        <v>0</v>
      </c>
      <c r="E238" s="456"/>
      <c r="F238" s="456"/>
      <c r="G238" s="452">
        <v>37987</v>
      </c>
      <c r="H238" s="453">
        <v>41729</v>
      </c>
      <c r="I238" s="455">
        <v>0.01</v>
      </c>
      <c r="J238" s="456"/>
      <c r="K238" s="456"/>
      <c r="L238" s="452">
        <v>41730</v>
      </c>
      <c r="N238" s="455"/>
      <c r="O238" s="456"/>
      <c r="P238" s="456"/>
      <c r="S238" s="455"/>
      <c r="T238" s="456"/>
      <c r="U238" s="456"/>
      <c r="X238" s="455"/>
      <c r="Y238" s="456"/>
      <c r="Z238" s="456"/>
      <c r="AC238" s="455"/>
      <c r="AD238" s="456"/>
      <c r="AE238" s="456"/>
      <c r="AH238" s="455"/>
      <c r="AI238" s="456"/>
      <c r="AJ238" s="456"/>
      <c r="AM238" s="455"/>
      <c r="AN238" s="456"/>
      <c r="AO238" s="456"/>
      <c r="AR238" s="455"/>
      <c r="AS238" s="456"/>
      <c r="AT238" s="456"/>
      <c r="AW238" s="455"/>
      <c r="AX238" s="456"/>
      <c r="AY238" s="456"/>
    </row>
    <row r="239" spans="1:53" s="763" customFormat="1" x14ac:dyDescent="0.2">
      <c r="A239" s="756">
        <f t="shared" si="2"/>
        <v>237</v>
      </c>
      <c r="B239" s="777">
        <v>718</v>
      </c>
      <c r="C239" s="778" t="s">
        <v>1666</v>
      </c>
      <c r="D239" s="759">
        <v>0</v>
      </c>
      <c r="E239" s="760"/>
      <c r="F239" s="760"/>
      <c r="G239" s="761">
        <v>37987</v>
      </c>
      <c r="H239" s="762">
        <v>43343</v>
      </c>
      <c r="I239" s="759">
        <v>0.01</v>
      </c>
      <c r="J239" s="760"/>
      <c r="K239" s="760"/>
      <c r="L239" s="761">
        <v>43344</v>
      </c>
      <c r="M239" s="762"/>
      <c r="N239" s="759"/>
      <c r="O239" s="760"/>
      <c r="P239" s="760"/>
      <c r="Q239" s="761"/>
      <c r="R239" s="762"/>
      <c r="S239" s="759"/>
      <c r="T239" s="760"/>
      <c r="U239" s="760"/>
      <c r="V239" s="761"/>
      <c r="W239" s="762"/>
      <c r="X239" s="759"/>
      <c r="Y239" s="760"/>
      <c r="Z239" s="760"/>
      <c r="AA239" s="761"/>
      <c r="AB239" s="762"/>
      <c r="AC239" s="759"/>
      <c r="AD239" s="760"/>
      <c r="AE239" s="760"/>
      <c r="AF239" s="761"/>
      <c r="AG239" s="762"/>
      <c r="AH239" s="759"/>
      <c r="AI239" s="760"/>
      <c r="AJ239" s="760"/>
      <c r="AK239" s="761"/>
      <c r="AL239" s="762"/>
      <c r="AM239" s="759"/>
      <c r="AN239" s="760"/>
      <c r="AO239" s="760"/>
      <c r="AP239" s="761"/>
      <c r="AQ239" s="762"/>
      <c r="AR239" s="759"/>
      <c r="AS239" s="760"/>
      <c r="AT239" s="760"/>
      <c r="AU239" s="761"/>
      <c r="AV239" s="762"/>
      <c r="AW239" s="759"/>
      <c r="AX239" s="760"/>
      <c r="AY239" s="760"/>
      <c r="AZ239" s="761"/>
      <c r="BA239" s="762"/>
    </row>
    <row r="240" spans="1:53" x14ac:dyDescent="0.2">
      <c r="A240" s="447">
        <f t="shared" si="2"/>
        <v>238</v>
      </c>
      <c r="B240" s="462">
        <v>631</v>
      </c>
      <c r="C240" s="458" t="s">
        <v>1494</v>
      </c>
      <c r="D240" s="455">
        <v>0.01</v>
      </c>
      <c r="E240" s="456"/>
      <c r="F240" s="456"/>
      <c r="G240" s="452">
        <v>37987</v>
      </c>
      <c r="H240" s="453">
        <v>41639</v>
      </c>
      <c r="I240" s="455">
        <v>0.02</v>
      </c>
      <c r="J240" s="456"/>
      <c r="K240" s="456"/>
      <c r="L240" s="452">
        <v>41640</v>
      </c>
      <c r="N240" s="455"/>
      <c r="O240" s="456"/>
      <c r="P240" s="456"/>
      <c r="S240" s="455"/>
      <c r="T240" s="456"/>
      <c r="U240" s="456"/>
      <c r="X240" s="455"/>
      <c r="Y240" s="456"/>
      <c r="Z240" s="456"/>
      <c r="AC240" s="455"/>
      <c r="AD240" s="456"/>
      <c r="AE240" s="456"/>
      <c r="AH240" s="455"/>
      <c r="AI240" s="456"/>
      <c r="AJ240" s="456"/>
      <c r="AM240" s="455"/>
      <c r="AN240" s="456"/>
      <c r="AO240" s="456"/>
      <c r="AR240" s="455"/>
      <c r="AS240" s="456"/>
      <c r="AT240" s="456"/>
      <c r="AW240" s="455"/>
      <c r="AX240" s="456"/>
      <c r="AY240" s="456"/>
    </row>
    <row r="241" spans="1:51" x14ac:dyDescent="0.2">
      <c r="A241" s="447">
        <f>+A240+1</f>
        <v>239</v>
      </c>
      <c r="B241" s="462">
        <v>650</v>
      </c>
      <c r="C241" s="457" t="s">
        <v>212</v>
      </c>
      <c r="D241" s="455">
        <v>0.01</v>
      </c>
      <c r="E241" s="456"/>
      <c r="F241" s="456"/>
      <c r="G241" s="452">
        <v>37987</v>
      </c>
      <c r="I241" s="455"/>
      <c r="J241" s="456"/>
      <c r="K241" s="456"/>
      <c r="N241" s="455"/>
      <c r="O241" s="456"/>
      <c r="P241" s="456"/>
      <c r="S241" s="455"/>
      <c r="T241" s="456"/>
      <c r="U241" s="456"/>
      <c r="X241" s="455"/>
      <c r="Y241" s="456"/>
      <c r="Z241" s="456"/>
      <c r="AC241" s="455"/>
      <c r="AD241" s="456"/>
      <c r="AE241" s="456"/>
      <c r="AH241" s="455"/>
      <c r="AI241" s="456"/>
      <c r="AJ241" s="456"/>
      <c r="AM241" s="455"/>
      <c r="AN241" s="456"/>
      <c r="AO241" s="456"/>
      <c r="AR241" s="455"/>
      <c r="AS241" s="456"/>
      <c r="AT241" s="456"/>
      <c r="AW241" s="455"/>
      <c r="AX241" s="456"/>
      <c r="AY241" s="456"/>
    </row>
    <row r="242" spans="1:51" x14ac:dyDescent="0.2">
      <c r="A242" s="447">
        <f t="shared" si="2"/>
        <v>240</v>
      </c>
      <c r="B242" s="462">
        <v>654</v>
      </c>
      <c r="C242" s="458" t="s">
        <v>1315</v>
      </c>
      <c r="D242" s="455">
        <v>0.01</v>
      </c>
      <c r="E242" s="456"/>
      <c r="F242" s="456"/>
      <c r="G242" s="452">
        <v>37987</v>
      </c>
      <c r="H242" s="453">
        <v>41820</v>
      </c>
      <c r="I242" s="455">
        <v>0.02</v>
      </c>
      <c r="J242" s="456"/>
      <c r="K242" s="456"/>
      <c r="L242" s="452">
        <v>41821</v>
      </c>
      <c r="N242" s="455"/>
      <c r="O242" s="456"/>
      <c r="P242" s="456"/>
      <c r="S242" s="455"/>
      <c r="T242" s="456"/>
      <c r="U242" s="456"/>
      <c r="X242" s="455"/>
      <c r="Y242" s="456"/>
      <c r="Z242" s="456"/>
      <c r="AC242" s="455"/>
      <c r="AD242" s="456"/>
      <c r="AE242" s="456"/>
      <c r="AH242" s="455"/>
      <c r="AI242" s="456"/>
      <c r="AJ242" s="456"/>
      <c r="AM242" s="455"/>
      <c r="AN242" s="456"/>
      <c r="AO242" s="456"/>
      <c r="AR242" s="455"/>
      <c r="AS242" s="456"/>
      <c r="AT242" s="456"/>
      <c r="AW242" s="455"/>
      <c r="AX242" s="456"/>
      <c r="AY242" s="456"/>
    </row>
    <row r="243" spans="1:51" x14ac:dyDescent="0.2">
      <c r="A243" s="447">
        <f t="shared" si="2"/>
        <v>241</v>
      </c>
      <c r="B243" s="462">
        <v>664</v>
      </c>
      <c r="C243" s="457" t="s">
        <v>1316</v>
      </c>
      <c r="D243" s="455">
        <v>0.01</v>
      </c>
      <c r="E243" s="456"/>
      <c r="F243" s="456"/>
      <c r="G243" s="452">
        <v>37987</v>
      </c>
      <c r="I243" s="455"/>
      <c r="J243" s="456"/>
      <c r="K243" s="456"/>
      <c r="N243" s="455"/>
      <c r="O243" s="456"/>
      <c r="P243" s="456"/>
      <c r="S243" s="455"/>
      <c r="T243" s="456"/>
      <c r="U243" s="456"/>
      <c r="X243" s="455"/>
      <c r="Y243" s="456"/>
      <c r="Z243" s="456"/>
      <c r="AC243" s="455"/>
      <c r="AD243" s="456"/>
      <c r="AE243" s="456"/>
      <c r="AH243" s="455"/>
      <c r="AI243" s="456"/>
      <c r="AJ243" s="456"/>
      <c r="AM243" s="455"/>
      <c r="AN243" s="456"/>
      <c r="AO243" s="456"/>
      <c r="AR243" s="455"/>
      <c r="AS243" s="456"/>
      <c r="AT243" s="456"/>
      <c r="AW243" s="455"/>
      <c r="AX243" s="456"/>
      <c r="AY243" s="456"/>
    </row>
    <row r="244" spans="1:51" x14ac:dyDescent="0.2">
      <c r="A244" s="447">
        <f t="shared" si="2"/>
        <v>242</v>
      </c>
      <c r="B244" s="462">
        <v>637</v>
      </c>
      <c r="C244" s="457" t="s">
        <v>213</v>
      </c>
      <c r="D244" s="455">
        <v>0</v>
      </c>
      <c r="E244" s="456"/>
      <c r="F244" s="456"/>
      <c r="G244" s="452">
        <v>37987</v>
      </c>
      <c r="H244" s="453">
        <v>38595</v>
      </c>
      <c r="I244" s="455">
        <v>0.01</v>
      </c>
      <c r="J244" s="456"/>
      <c r="K244" s="456"/>
      <c r="L244" s="452">
        <v>38596</v>
      </c>
      <c r="N244" s="455"/>
      <c r="O244" s="456"/>
      <c r="P244" s="456"/>
      <c r="S244" s="455"/>
      <c r="T244" s="456"/>
      <c r="U244" s="456"/>
      <c r="X244" s="455"/>
      <c r="Y244" s="456"/>
      <c r="Z244" s="456"/>
      <c r="AC244" s="455"/>
      <c r="AD244" s="456"/>
      <c r="AE244" s="456"/>
      <c r="AH244" s="455"/>
      <c r="AI244" s="456"/>
      <c r="AJ244" s="456"/>
      <c r="AM244" s="455"/>
      <c r="AN244" s="456"/>
      <c r="AO244" s="456"/>
      <c r="AR244" s="455"/>
      <c r="AS244" s="456"/>
      <c r="AT244" s="456"/>
      <c r="AW244" s="455"/>
      <c r="AX244" s="456"/>
      <c r="AY244" s="456"/>
    </row>
    <row r="245" spans="1:51" x14ac:dyDescent="0.2">
      <c r="A245" s="447">
        <f t="shared" si="2"/>
        <v>243</v>
      </c>
      <c r="B245" s="462">
        <v>640</v>
      </c>
      <c r="C245" s="457" t="s">
        <v>214</v>
      </c>
      <c r="D245" s="455">
        <v>0.01</v>
      </c>
      <c r="E245" s="456"/>
      <c r="F245" s="456"/>
      <c r="G245" s="452">
        <v>37987</v>
      </c>
      <c r="H245" s="453">
        <v>42551</v>
      </c>
      <c r="I245" s="459">
        <v>1.4999999999999999E-2</v>
      </c>
      <c r="J245" s="456"/>
      <c r="K245" s="456"/>
      <c r="L245" s="452">
        <v>42552</v>
      </c>
      <c r="N245" s="455"/>
      <c r="O245" s="456"/>
      <c r="P245" s="456"/>
      <c r="S245" s="455"/>
      <c r="T245" s="456"/>
      <c r="U245" s="456"/>
      <c r="X245" s="455"/>
      <c r="Y245" s="456"/>
      <c r="Z245" s="456"/>
      <c r="AC245" s="455"/>
      <c r="AD245" s="456"/>
      <c r="AE245" s="456"/>
      <c r="AH245" s="455"/>
      <c r="AI245" s="456"/>
      <c r="AJ245" s="456"/>
      <c r="AM245" s="455"/>
      <c r="AN245" s="456"/>
      <c r="AO245" s="456"/>
      <c r="AR245" s="455"/>
      <c r="AS245" s="456"/>
      <c r="AT245" s="456"/>
      <c r="AW245" s="455"/>
      <c r="AX245" s="456"/>
      <c r="AY245" s="456"/>
    </row>
    <row r="246" spans="1:51" x14ac:dyDescent="0.2">
      <c r="A246" s="447">
        <f t="shared" si="2"/>
        <v>244</v>
      </c>
      <c r="B246" s="462">
        <v>641</v>
      </c>
      <c r="C246" s="457" t="s">
        <v>1280</v>
      </c>
      <c r="D246" s="455">
        <v>7.4999999999999997E-3</v>
      </c>
      <c r="E246" s="456"/>
      <c r="F246" s="456"/>
      <c r="G246" s="452">
        <v>37987</v>
      </c>
      <c r="I246" s="455"/>
      <c r="J246" s="456"/>
      <c r="K246" s="456"/>
      <c r="N246" s="455"/>
      <c r="O246" s="456"/>
      <c r="P246" s="456"/>
      <c r="S246" s="455"/>
      <c r="T246" s="456"/>
      <c r="U246" s="456"/>
      <c r="X246" s="455"/>
      <c r="Y246" s="456"/>
      <c r="Z246" s="456"/>
      <c r="AC246" s="455"/>
      <c r="AD246" s="456"/>
      <c r="AE246" s="456"/>
      <c r="AH246" s="455"/>
      <c r="AI246" s="456"/>
      <c r="AJ246" s="456"/>
      <c r="AM246" s="455"/>
      <c r="AN246" s="456"/>
      <c r="AO246" s="456"/>
      <c r="AR246" s="455"/>
      <c r="AS246" s="456"/>
      <c r="AT246" s="456"/>
      <c r="AW246" s="455"/>
      <c r="AX246" s="456"/>
      <c r="AY246" s="456"/>
    </row>
    <row r="247" spans="1:51" x14ac:dyDescent="0.2">
      <c r="A247" s="447">
        <f t="shared" si="2"/>
        <v>245</v>
      </c>
      <c r="B247" s="462">
        <v>642</v>
      </c>
      <c r="C247" s="458" t="s">
        <v>502</v>
      </c>
      <c r="D247" s="455">
        <v>0</v>
      </c>
      <c r="E247" s="456"/>
      <c r="F247" s="456"/>
      <c r="G247" s="452">
        <v>37987</v>
      </c>
      <c r="H247" s="453">
        <v>41547</v>
      </c>
      <c r="I247" s="455">
        <v>0.01</v>
      </c>
      <c r="J247" s="456"/>
      <c r="K247" s="456"/>
      <c r="L247" s="452">
        <v>41548</v>
      </c>
      <c r="N247" s="455"/>
      <c r="O247" s="456"/>
      <c r="P247" s="456"/>
      <c r="S247" s="455"/>
      <c r="T247" s="456"/>
      <c r="U247" s="456"/>
      <c r="X247" s="455"/>
      <c r="Y247" s="456"/>
      <c r="Z247" s="456"/>
      <c r="AC247" s="455"/>
      <c r="AD247" s="456"/>
      <c r="AE247" s="456"/>
      <c r="AH247" s="455"/>
      <c r="AI247" s="456"/>
      <c r="AJ247" s="456"/>
      <c r="AM247" s="455"/>
      <c r="AN247" s="456"/>
      <c r="AO247" s="456"/>
      <c r="AR247" s="455"/>
      <c r="AS247" s="456"/>
      <c r="AT247" s="456"/>
      <c r="AW247" s="455"/>
      <c r="AX247" s="456"/>
      <c r="AY247" s="456"/>
    </row>
    <row r="248" spans="1:51" x14ac:dyDescent="0.2">
      <c r="A248" s="447">
        <f t="shared" si="2"/>
        <v>246</v>
      </c>
      <c r="B248" s="462">
        <v>644</v>
      </c>
      <c r="C248" s="457" t="s">
        <v>1317</v>
      </c>
      <c r="D248" s="455">
        <v>0</v>
      </c>
      <c r="E248" s="456"/>
      <c r="F248" s="456"/>
      <c r="G248" s="452">
        <v>37987</v>
      </c>
      <c r="H248" s="453">
        <v>39813</v>
      </c>
      <c r="I248" s="455">
        <v>0.01</v>
      </c>
      <c r="J248" s="456"/>
      <c r="K248" s="456"/>
      <c r="L248" s="452">
        <v>39814</v>
      </c>
      <c r="N248" s="455"/>
      <c r="O248" s="456"/>
      <c r="P248" s="456"/>
      <c r="S248" s="455"/>
      <c r="T248" s="456"/>
      <c r="U248" s="456"/>
      <c r="X248" s="455"/>
      <c r="Y248" s="456"/>
      <c r="Z248" s="456"/>
      <c r="AC248" s="455"/>
      <c r="AD248" s="456"/>
      <c r="AE248" s="456"/>
      <c r="AH248" s="455"/>
      <c r="AI248" s="456"/>
      <c r="AJ248" s="456"/>
      <c r="AM248" s="455"/>
      <c r="AN248" s="456"/>
      <c r="AO248" s="456"/>
      <c r="AR248" s="455"/>
      <c r="AS248" s="456"/>
      <c r="AT248" s="456"/>
      <c r="AW248" s="455"/>
      <c r="AX248" s="456"/>
      <c r="AY248" s="456"/>
    </row>
    <row r="249" spans="1:51" x14ac:dyDescent="0.2">
      <c r="A249" s="447">
        <f t="shared" si="2"/>
        <v>247</v>
      </c>
      <c r="B249" s="462">
        <v>648</v>
      </c>
      <c r="C249" s="457" t="s">
        <v>215</v>
      </c>
      <c r="D249" s="455">
        <v>7.4999999999999997E-3</v>
      </c>
      <c r="E249" s="456"/>
      <c r="F249" s="456"/>
      <c r="G249" s="452">
        <v>37987</v>
      </c>
      <c r="I249" s="455"/>
      <c r="J249" s="456"/>
      <c r="K249" s="456"/>
      <c r="N249" s="455"/>
      <c r="O249" s="456"/>
      <c r="P249" s="456"/>
      <c r="S249" s="455"/>
      <c r="T249" s="456"/>
      <c r="U249" s="456"/>
      <c r="X249" s="455"/>
      <c r="Y249" s="456"/>
      <c r="Z249" s="456"/>
      <c r="AC249" s="455"/>
      <c r="AD249" s="456"/>
      <c r="AE249" s="456"/>
      <c r="AH249" s="455"/>
      <c r="AI249" s="456"/>
      <c r="AJ249" s="456"/>
      <c r="AM249" s="455"/>
      <c r="AN249" s="456"/>
      <c r="AO249" s="456"/>
      <c r="AR249" s="455"/>
      <c r="AS249" s="456"/>
      <c r="AT249" s="456"/>
      <c r="AW249" s="455"/>
      <c r="AX249" s="456"/>
      <c r="AY249" s="456"/>
    </row>
    <row r="250" spans="1:51" x14ac:dyDescent="0.2">
      <c r="A250" s="447">
        <f t="shared" si="2"/>
        <v>248</v>
      </c>
      <c r="B250" s="462">
        <v>645</v>
      </c>
      <c r="C250" s="458" t="s">
        <v>216</v>
      </c>
      <c r="D250" s="455">
        <v>7.4999999999999997E-3</v>
      </c>
      <c r="E250" s="456"/>
      <c r="F250" s="456"/>
      <c r="G250" s="452">
        <v>37987</v>
      </c>
      <c r="H250" s="453">
        <v>41820</v>
      </c>
      <c r="I250" s="455">
        <v>0.01</v>
      </c>
      <c r="J250" s="456"/>
      <c r="K250" s="456"/>
      <c r="L250" s="452">
        <v>41821</v>
      </c>
      <c r="N250" s="455"/>
      <c r="O250" s="456"/>
      <c r="P250" s="456"/>
      <c r="S250" s="455"/>
      <c r="T250" s="456"/>
      <c r="U250" s="456"/>
      <c r="X250" s="455"/>
      <c r="Y250" s="456"/>
      <c r="Z250" s="456"/>
      <c r="AC250" s="455"/>
      <c r="AD250" s="456"/>
      <c r="AE250" s="456"/>
      <c r="AH250" s="455"/>
      <c r="AI250" s="456"/>
      <c r="AJ250" s="456"/>
      <c r="AM250" s="455"/>
      <c r="AN250" s="456"/>
      <c r="AO250" s="456"/>
      <c r="AR250" s="455"/>
      <c r="AS250" s="456"/>
      <c r="AT250" s="456"/>
      <c r="AW250" s="455"/>
      <c r="AX250" s="456"/>
      <c r="AY250" s="456"/>
    </row>
    <row r="251" spans="1:51" x14ac:dyDescent="0.2">
      <c r="A251" s="447">
        <f t="shared" si="2"/>
        <v>249</v>
      </c>
      <c r="B251" s="462">
        <v>643</v>
      </c>
      <c r="C251" s="457" t="s">
        <v>1373</v>
      </c>
      <c r="D251" s="455">
        <v>0</v>
      </c>
      <c r="E251" s="456"/>
      <c r="F251" s="456"/>
      <c r="G251" s="452">
        <v>37987</v>
      </c>
      <c r="H251" s="453">
        <v>40359</v>
      </c>
      <c r="I251" s="455">
        <v>0.01</v>
      </c>
      <c r="J251" s="456"/>
      <c r="K251" s="456"/>
      <c r="L251" s="452">
        <v>40360</v>
      </c>
      <c r="N251" s="455"/>
      <c r="O251" s="456"/>
      <c r="P251" s="456"/>
      <c r="S251" s="455"/>
      <c r="T251" s="456"/>
      <c r="U251" s="456"/>
      <c r="X251" s="455"/>
      <c r="Y251" s="456"/>
      <c r="Z251" s="456"/>
      <c r="AC251" s="455"/>
      <c r="AD251" s="456"/>
      <c r="AE251" s="456"/>
      <c r="AH251" s="455"/>
      <c r="AI251" s="456"/>
      <c r="AJ251" s="456"/>
      <c r="AM251" s="455"/>
      <c r="AN251" s="456"/>
      <c r="AO251" s="456"/>
      <c r="AR251" s="455"/>
      <c r="AS251" s="456"/>
      <c r="AT251" s="456"/>
      <c r="AW251" s="455"/>
      <c r="AX251" s="456"/>
      <c r="AY251" s="456"/>
    </row>
    <row r="252" spans="1:51" x14ac:dyDescent="0.2">
      <c r="A252" s="447">
        <f t="shared" si="2"/>
        <v>250</v>
      </c>
      <c r="B252" s="462">
        <v>657</v>
      </c>
      <c r="C252" s="458" t="s">
        <v>1442</v>
      </c>
      <c r="D252" s="455">
        <v>1.7999999999999999E-2</v>
      </c>
      <c r="E252" s="456"/>
      <c r="F252" s="456"/>
      <c r="G252" s="452">
        <v>37987</v>
      </c>
      <c r="H252" s="453">
        <v>38411</v>
      </c>
      <c r="I252" s="455">
        <v>0.02</v>
      </c>
      <c r="J252" s="456"/>
      <c r="K252" s="456"/>
      <c r="L252" s="452">
        <v>38412</v>
      </c>
      <c r="M252" s="453">
        <v>42185</v>
      </c>
      <c r="N252" s="455">
        <v>2.2499999999999999E-2</v>
      </c>
      <c r="O252" s="456"/>
      <c r="P252" s="456"/>
      <c r="Q252" s="452">
        <v>42186</v>
      </c>
      <c r="R252" s="453">
        <v>42490</v>
      </c>
      <c r="S252" s="455">
        <v>2.5000000000000001E-2</v>
      </c>
      <c r="T252" s="456"/>
      <c r="U252" s="456"/>
      <c r="V252" s="452">
        <v>42491</v>
      </c>
      <c r="X252" s="455"/>
      <c r="Y252" s="456"/>
      <c r="Z252" s="456"/>
      <c r="AC252" s="455"/>
      <c r="AD252" s="456"/>
      <c r="AE252" s="456"/>
      <c r="AH252" s="455"/>
      <c r="AI252" s="456"/>
      <c r="AJ252" s="456"/>
      <c r="AM252" s="455"/>
      <c r="AN252" s="456"/>
      <c r="AO252" s="456"/>
      <c r="AR252" s="455"/>
      <c r="AS252" s="456"/>
      <c r="AT252" s="456"/>
      <c r="AW252" s="455"/>
      <c r="AX252" s="456"/>
      <c r="AY252" s="456"/>
    </row>
    <row r="253" spans="1:51" x14ac:dyDescent="0.2">
      <c r="A253" s="447">
        <f>+A252+1</f>
        <v>251</v>
      </c>
      <c r="B253" s="462">
        <v>660</v>
      </c>
      <c r="C253" s="457" t="s">
        <v>217</v>
      </c>
      <c r="D253" s="459">
        <v>1.4999999999999999E-2</v>
      </c>
      <c r="E253" s="460"/>
      <c r="F253" s="460"/>
      <c r="G253" s="452">
        <v>37987</v>
      </c>
      <c r="I253" s="455"/>
      <c r="J253" s="456"/>
      <c r="K253" s="456"/>
      <c r="N253" s="455"/>
      <c r="O253" s="456"/>
      <c r="P253" s="456"/>
      <c r="S253" s="455"/>
      <c r="T253" s="456"/>
      <c r="U253" s="456"/>
      <c r="X253" s="455"/>
      <c r="Y253" s="456"/>
      <c r="Z253" s="456"/>
      <c r="AC253" s="455"/>
      <c r="AD253" s="456"/>
      <c r="AE253" s="456"/>
      <c r="AH253" s="455"/>
      <c r="AI253" s="456"/>
      <c r="AJ253" s="456"/>
      <c r="AM253" s="455"/>
      <c r="AN253" s="456"/>
      <c r="AO253" s="456"/>
      <c r="AR253" s="455"/>
      <c r="AS253" s="456"/>
      <c r="AT253" s="456"/>
      <c r="AW253" s="455"/>
      <c r="AX253" s="456"/>
      <c r="AY253" s="456"/>
    </row>
    <row r="254" spans="1:51" x14ac:dyDescent="0.2">
      <c r="A254" s="447">
        <f t="shared" si="2"/>
        <v>252</v>
      </c>
      <c r="B254" s="462">
        <v>661</v>
      </c>
      <c r="C254" s="457" t="s">
        <v>1479</v>
      </c>
      <c r="D254" s="455">
        <v>1.4999999999999999E-2</v>
      </c>
      <c r="E254" s="456"/>
      <c r="F254" s="456"/>
      <c r="G254" s="452">
        <v>37987</v>
      </c>
      <c r="I254" s="455"/>
      <c r="J254" s="456"/>
      <c r="K254" s="456"/>
      <c r="N254" s="455"/>
      <c r="O254" s="456"/>
      <c r="P254" s="456"/>
      <c r="S254" s="455"/>
      <c r="T254" s="456"/>
      <c r="U254" s="456"/>
      <c r="X254" s="455"/>
      <c r="Y254" s="456"/>
      <c r="Z254" s="456"/>
      <c r="AC254" s="455"/>
      <c r="AD254" s="456"/>
      <c r="AE254" s="456"/>
      <c r="AH254" s="455"/>
      <c r="AI254" s="456"/>
      <c r="AJ254" s="456"/>
      <c r="AM254" s="455"/>
      <c r="AN254" s="456"/>
      <c r="AO254" s="456"/>
      <c r="AR254" s="455"/>
      <c r="AS254" s="456"/>
      <c r="AT254" s="456"/>
      <c r="AW254" s="455"/>
      <c r="AX254" s="456"/>
      <c r="AY254" s="456"/>
    </row>
    <row r="255" spans="1:51" x14ac:dyDescent="0.2">
      <c r="A255" s="461">
        <f t="shared" ref="A255:A343" si="5">+A254+1</f>
        <v>253</v>
      </c>
      <c r="B255" s="462">
        <v>662</v>
      </c>
      <c r="C255" s="457" t="s">
        <v>218</v>
      </c>
      <c r="D255" s="455">
        <v>1.4999999999999999E-2</v>
      </c>
      <c r="E255" s="456"/>
      <c r="F255" s="456"/>
      <c r="G255" s="452">
        <v>37987</v>
      </c>
      <c r="H255" s="453">
        <v>42916</v>
      </c>
      <c r="I255" s="455">
        <v>2.5000000000000001E-2</v>
      </c>
      <c r="J255" s="456"/>
      <c r="K255" s="456"/>
      <c r="L255" s="452">
        <v>42917</v>
      </c>
      <c r="N255" s="455"/>
      <c r="O255" s="456"/>
      <c r="P255" s="456"/>
      <c r="S255" s="455"/>
      <c r="T255" s="456"/>
      <c r="U255" s="456"/>
      <c r="X255" s="455"/>
      <c r="Y255" s="456"/>
      <c r="Z255" s="456"/>
      <c r="AC255" s="455"/>
      <c r="AD255" s="456"/>
      <c r="AE255" s="456"/>
      <c r="AH255" s="455"/>
      <c r="AI255" s="456"/>
      <c r="AJ255" s="456"/>
      <c r="AM255" s="455"/>
      <c r="AN255" s="456"/>
      <c r="AO255" s="456"/>
      <c r="AR255" s="455"/>
      <c r="AS255" s="456"/>
      <c r="AT255" s="456"/>
      <c r="AW255" s="455"/>
      <c r="AX255" s="456"/>
      <c r="AY255" s="456"/>
    </row>
    <row r="256" spans="1:51" x14ac:dyDescent="0.2">
      <c r="A256" s="461">
        <f t="shared" si="5"/>
        <v>254</v>
      </c>
      <c r="B256" s="462">
        <v>670</v>
      </c>
      <c r="C256" s="458" t="s">
        <v>219</v>
      </c>
      <c r="D256" s="455">
        <v>0.02</v>
      </c>
      <c r="E256" s="456"/>
      <c r="F256" s="456"/>
      <c r="G256" s="452">
        <v>37987</v>
      </c>
      <c r="H256" s="453">
        <v>41455</v>
      </c>
      <c r="I256" s="455">
        <v>2.2499999999999999E-2</v>
      </c>
      <c r="J256" s="456"/>
      <c r="K256" s="456"/>
      <c r="L256" s="452">
        <v>41456</v>
      </c>
      <c r="N256" s="455"/>
      <c r="O256" s="456"/>
      <c r="P256" s="456"/>
      <c r="S256" s="455"/>
      <c r="T256" s="456"/>
      <c r="U256" s="456"/>
      <c r="X256" s="455"/>
      <c r="Y256" s="456"/>
      <c r="Z256" s="456"/>
      <c r="AC256" s="455"/>
      <c r="AD256" s="456"/>
      <c r="AE256" s="456"/>
      <c r="AH256" s="455"/>
      <c r="AI256" s="456"/>
      <c r="AJ256" s="456"/>
      <c r="AM256" s="455"/>
      <c r="AN256" s="456"/>
      <c r="AO256" s="456"/>
      <c r="AR256" s="455"/>
      <c r="AS256" s="456"/>
      <c r="AT256" s="456"/>
      <c r="AW256" s="455"/>
      <c r="AX256" s="456"/>
      <c r="AY256" s="456"/>
    </row>
    <row r="257" spans="1:51" x14ac:dyDescent="0.2">
      <c r="A257" s="461">
        <f t="shared" si="5"/>
        <v>255</v>
      </c>
      <c r="B257" s="462">
        <v>671</v>
      </c>
      <c r="C257" s="457" t="s">
        <v>220</v>
      </c>
      <c r="D257" s="455">
        <v>0.01</v>
      </c>
      <c r="E257" s="456"/>
      <c r="F257" s="456"/>
      <c r="G257" s="452">
        <v>37987</v>
      </c>
      <c r="I257" s="455"/>
      <c r="J257" s="456"/>
      <c r="K257" s="456"/>
      <c r="N257" s="455"/>
      <c r="O257" s="456"/>
      <c r="P257" s="456"/>
      <c r="S257" s="455"/>
      <c r="T257" s="456"/>
      <c r="U257" s="456"/>
      <c r="X257" s="455"/>
      <c r="Y257" s="456"/>
      <c r="Z257" s="456"/>
      <c r="AC257" s="455"/>
      <c r="AD257" s="456"/>
      <c r="AE257" s="456"/>
      <c r="AH257" s="455"/>
      <c r="AI257" s="456"/>
      <c r="AJ257" s="456"/>
      <c r="AM257" s="455"/>
      <c r="AN257" s="456"/>
      <c r="AO257" s="456"/>
      <c r="AR257" s="455"/>
      <c r="AS257" s="456"/>
      <c r="AT257" s="456"/>
      <c r="AW257" s="455"/>
      <c r="AX257" s="456"/>
      <c r="AY257" s="456"/>
    </row>
    <row r="258" spans="1:51" x14ac:dyDescent="0.2">
      <c r="A258" s="447">
        <f t="shared" si="5"/>
        <v>256</v>
      </c>
      <c r="B258" s="462">
        <v>669</v>
      </c>
      <c r="C258" s="457" t="s">
        <v>221</v>
      </c>
      <c r="D258" s="455">
        <v>5.0000000000000001E-3</v>
      </c>
      <c r="E258" s="456"/>
      <c r="F258" s="456"/>
      <c r="G258" s="452">
        <v>37987</v>
      </c>
      <c r="I258" s="455"/>
      <c r="J258" s="456"/>
      <c r="K258" s="456"/>
      <c r="N258" s="455"/>
      <c r="O258" s="456"/>
      <c r="P258" s="456"/>
      <c r="S258" s="455"/>
      <c r="T258" s="456"/>
      <c r="U258" s="456"/>
      <c r="X258" s="455"/>
      <c r="Y258" s="456"/>
      <c r="Z258" s="456"/>
      <c r="AC258" s="455"/>
      <c r="AD258" s="456"/>
      <c r="AE258" s="456"/>
      <c r="AH258" s="455"/>
      <c r="AI258" s="456"/>
      <c r="AJ258" s="456"/>
      <c r="AM258" s="455"/>
      <c r="AN258" s="456"/>
      <c r="AO258" s="456"/>
      <c r="AR258" s="455"/>
      <c r="AS258" s="456"/>
      <c r="AT258" s="456"/>
      <c r="AW258" s="455"/>
      <c r="AX258" s="456"/>
      <c r="AY258" s="456"/>
    </row>
    <row r="259" spans="1:51" x14ac:dyDescent="0.2">
      <c r="A259" s="447">
        <f t="shared" si="5"/>
        <v>257</v>
      </c>
      <c r="B259" s="462">
        <v>588</v>
      </c>
      <c r="C259" s="458" t="s">
        <v>504</v>
      </c>
      <c r="D259" s="455">
        <v>0.01</v>
      </c>
      <c r="E259" s="456"/>
      <c r="F259" s="456"/>
      <c r="G259" s="452">
        <v>37987</v>
      </c>
      <c r="H259" s="453">
        <v>41274</v>
      </c>
      <c r="I259" s="455">
        <v>1.4999999999999999E-2</v>
      </c>
      <c r="J259" s="456"/>
      <c r="K259" s="456"/>
      <c r="L259" s="452">
        <v>41275</v>
      </c>
      <c r="N259" s="455"/>
      <c r="O259" s="456"/>
      <c r="P259" s="456"/>
      <c r="S259" s="455"/>
      <c r="T259" s="456"/>
      <c r="U259" s="456"/>
      <c r="X259" s="455"/>
      <c r="Y259" s="456"/>
      <c r="Z259" s="456"/>
      <c r="AC259" s="455"/>
      <c r="AD259" s="456"/>
      <c r="AE259" s="456"/>
      <c r="AH259" s="455"/>
      <c r="AI259" s="456"/>
      <c r="AJ259" s="456"/>
      <c r="AM259" s="455"/>
      <c r="AN259" s="456"/>
      <c r="AO259" s="456"/>
      <c r="AR259" s="455"/>
      <c r="AS259" s="456"/>
      <c r="AT259" s="456"/>
      <c r="AW259" s="455"/>
      <c r="AX259" s="456"/>
      <c r="AY259" s="456"/>
    </row>
    <row r="260" spans="1:51" x14ac:dyDescent="0.2">
      <c r="A260" s="447">
        <f t="shared" si="5"/>
        <v>258</v>
      </c>
      <c r="B260" s="462">
        <v>672</v>
      </c>
      <c r="C260" s="457" t="s">
        <v>1285</v>
      </c>
      <c r="D260" s="455">
        <v>0.01</v>
      </c>
      <c r="E260" s="456"/>
      <c r="F260" s="456"/>
      <c r="G260" s="452">
        <v>37987</v>
      </c>
      <c r="I260" s="455"/>
      <c r="J260" s="456"/>
      <c r="K260" s="456"/>
      <c r="N260" s="455"/>
      <c r="O260" s="456"/>
      <c r="P260" s="456"/>
      <c r="S260" s="455"/>
      <c r="T260" s="456"/>
      <c r="U260" s="456"/>
      <c r="X260" s="455"/>
      <c r="Y260" s="456"/>
      <c r="Z260" s="456"/>
      <c r="AC260" s="455"/>
      <c r="AD260" s="456"/>
      <c r="AE260" s="456"/>
      <c r="AH260" s="455"/>
      <c r="AI260" s="456"/>
      <c r="AJ260" s="456"/>
      <c r="AM260" s="455"/>
      <c r="AN260" s="456"/>
      <c r="AO260" s="456"/>
      <c r="AR260" s="455"/>
      <c r="AS260" s="456"/>
      <c r="AT260" s="456"/>
      <c r="AW260" s="455"/>
      <c r="AX260" s="456"/>
      <c r="AY260" s="456"/>
    </row>
    <row r="261" spans="1:51" x14ac:dyDescent="0.2">
      <c r="A261" s="447">
        <f t="shared" si="5"/>
        <v>259</v>
      </c>
      <c r="B261" s="462">
        <v>680</v>
      </c>
      <c r="C261" s="457" t="s">
        <v>222</v>
      </c>
      <c r="D261" s="459">
        <v>1.4999999999999999E-2</v>
      </c>
      <c r="E261" s="460"/>
      <c r="F261" s="460"/>
      <c r="G261" s="452">
        <v>37987</v>
      </c>
      <c r="H261" s="453">
        <v>41280</v>
      </c>
      <c r="I261" s="455">
        <v>1.4999999999999999E-2</v>
      </c>
      <c r="J261" s="456"/>
      <c r="K261" s="456"/>
      <c r="L261" s="452">
        <v>41281</v>
      </c>
      <c r="N261" s="455"/>
      <c r="O261" s="456"/>
      <c r="P261" s="456"/>
      <c r="S261" s="455"/>
      <c r="T261" s="456"/>
      <c r="U261" s="456"/>
      <c r="X261" s="455"/>
      <c r="Y261" s="456"/>
      <c r="Z261" s="456"/>
      <c r="AC261" s="455"/>
      <c r="AD261" s="456"/>
      <c r="AE261" s="456"/>
      <c r="AH261" s="455"/>
      <c r="AI261" s="456"/>
      <c r="AJ261" s="456"/>
      <c r="AM261" s="455"/>
      <c r="AN261" s="456"/>
      <c r="AO261" s="456"/>
      <c r="AR261" s="455"/>
      <c r="AS261" s="456"/>
      <c r="AT261" s="456"/>
      <c r="AW261" s="455"/>
      <c r="AX261" s="456"/>
      <c r="AY261" s="456"/>
    </row>
    <row r="262" spans="1:51" x14ac:dyDescent="0.2">
      <c r="A262" s="447">
        <f t="shared" si="5"/>
        <v>260</v>
      </c>
      <c r="B262" s="462">
        <v>700</v>
      </c>
      <c r="C262" s="458" t="s">
        <v>1510</v>
      </c>
      <c r="D262" s="459">
        <v>1.4999999999999999E-2</v>
      </c>
      <c r="E262" s="460"/>
      <c r="F262" s="460"/>
      <c r="G262" s="452">
        <v>37987</v>
      </c>
      <c r="H262" s="453">
        <v>42004</v>
      </c>
      <c r="I262" s="455">
        <v>0.02</v>
      </c>
      <c r="J262" s="456"/>
      <c r="K262" s="456"/>
      <c r="L262" s="452">
        <v>42005</v>
      </c>
      <c r="N262" s="455"/>
      <c r="O262" s="456"/>
      <c r="P262" s="456"/>
      <c r="S262" s="455"/>
      <c r="T262" s="456"/>
      <c r="U262" s="456"/>
      <c r="X262" s="455"/>
      <c r="Y262" s="456"/>
      <c r="Z262" s="456"/>
      <c r="AC262" s="455"/>
      <c r="AD262" s="456"/>
      <c r="AE262" s="456"/>
      <c r="AH262" s="455"/>
      <c r="AI262" s="456"/>
      <c r="AJ262" s="456"/>
      <c r="AM262" s="455"/>
      <c r="AN262" s="456"/>
      <c r="AO262" s="456"/>
      <c r="AR262" s="455"/>
      <c r="AS262" s="456"/>
      <c r="AT262" s="456"/>
      <c r="AW262" s="455"/>
      <c r="AX262" s="456"/>
      <c r="AY262" s="456"/>
    </row>
    <row r="263" spans="1:51" x14ac:dyDescent="0.2">
      <c r="A263" s="447">
        <f t="shared" si="5"/>
        <v>261</v>
      </c>
      <c r="B263" s="462">
        <v>703</v>
      </c>
      <c r="C263" s="457" t="s">
        <v>1115</v>
      </c>
      <c r="D263" s="459">
        <v>2.2499999999999999E-2</v>
      </c>
      <c r="E263" s="460"/>
      <c r="F263" s="460"/>
      <c r="G263" s="452">
        <v>37987</v>
      </c>
      <c r="I263" s="455"/>
      <c r="J263" s="456"/>
      <c r="K263" s="456"/>
      <c r="N263" s="455"/>
      <c r="O263" s="456"/>
      <c r="P263" s="456"/>
      <c r="S263" s="455"/>
      <c r="T263" s="456"/>
      <c r="U263" s="456"/>
      <c r="X263" s="455"/>
      <c r="Y263" s="456"/>
      <c r="Z263" s="456"/>
      <c r="AC263" s="455"/>
      <c r="AD263" s="456"/>
      <c r="AE263" s="456"/>
      <c r="AH263" s="455"/>
      <c r="AI263" s="456"/>
      <c r="AJ263" s="456"/>
      <c r="AM263" s="455"/>
      <c r="AN263" s="456"/>
      <c r="AO263" s="456"/>
      <c r="AR263" s="455"/>
      <c r="AS263" s="456"/>
      <c r="AT263" s="456"/>
      <c r="AW263" s="455"/>
      <c r="AX263" s="456"/>
      <c r="AY263" s="456"/>
    </row>
    <row r="264" spans="1:51" x14ac:dyDescent="0.2">
      <c r="A264" s="461">
        <f t="shared" si="5"/>
        <v>262</v>
      </c>
      <c r="B264" s="462">
        <v>852</v>
      </c>
      <c r="C264" s="458" t="s">
        <v>1474</v>
      </c>
      <c r="D264" s="459">
        <v>0</v>
      </c>
      <c r="E264" s="460"/>
      <c r="F264" s="460"/>
      <c r="G264" s="452">
        <v>37987</v>
      </c>
      <c r="H264" s="453">
        <v>41820</v>
      </c>
      <c r="I264" s="455">
        <v>1.7500000000000002E-2</v>
      </c>
      <c r="J264" s="456"/>
      <c r="K264" s="456"/>
      <c r="L264" s="452">
        <v>41821</v>
      </c>
      <c r="M264" s="453">
        <v>42916</v>
      </c>
      <c r="N264" s="455">
        <v>0.02</v>
      </c>
      <c r="O264" s="456"/>
      <c r="P264" s="456"/>
      <c r="Q264" s="452">
        <v>42917</v>
      </c>
      <c r="S264" s="455"/>
      <c r="T264" s="456"/>
      <c r="U264" s="456"/>
      <c r="X264" s="455"/>
      <c r="Y264" s="456"/>
      <c r="Z264" s="456"/>
      <c r="AC264" s="455"/>
      <c r="AD264" s="456"/>
      <c r="AE264" s="456"/>
      <c r="AH264" s="455"/>
      <c r="AI264" s="456"/>
      <c r="AJ264" s="456"/>
      <c r="AM264" s="455"/>
      <c r="AN264" s="456"/>
      <c r="AO264" s="456"/>
      <c r="AR264" s="455"/>
      <c r="AS264" s="456"/>
      <c r="AT264" s="456"/>
      <c r="AW264" s="455"/>
      <c r="AX264" s="456"/>
      <c r="AY264" s="456"/>
    </row>
    <row r="265" spans="1:51" x14ac:dyDescent="0.2">
      <c r="A265" s="461">
        <f t="shared" si="5"/>
        <v>263</v>
      </c>
      <c r="B265" s="462">
        <v>704</v>
      </c>
      <c r="C265" s="457" t="s">
        <v>223</v>
      </c>
      <c r="D265" s="459">
        <v>0</v>
      </c>
      <c r="E265" s="460"/>
      <c r="F265" s="460"/>
      <c r="G265" s="452">
        <v>37987</v>
      </c>
      <c r="H265" s="453">
        <v>38133</v>
      </c>
      <c r="I265" s="455">
        <v>5.0000000000000001E-3</v>
      </c>
      <c r="J265" s="456"/>
      <c r="K265" s="456"/>
      <c r="L265" s="452">
        <v>38134</v>
      </c>
      <c r="M265" s="453">
        <v>38352</v>
      </c>
      <c r="N265" s="455">
        <v>0.01</v>
      </c>
      <c r="O265" s="456"/>
      <c r="P265" s="456"/>
      <c r="Q265" s="452">
        <v>38353</v>
      </c>
      <c r="R265" s="453">
        <v>42916</v>
      </c>
      <c r="S265" s="455">
        <v>1.4999999999999999E-2</v>
      </c>
      <c r="T265" s="456"/>
      <c r="U265" s="456"/>
      <c r="V265" s="452">
        <v>42917</v>
      </c>
      <c r="X265" s="455"/>
      <c r="Y265" s="456"/>
      <c r="Z265" s="456"/>
      <c r="AC265" s="455"/>
      <c r="AD265" s="456"/>
      <c r="AE265" s="456"/>
      <c r="AH265" s="455"/>
      <c r="AI265" s="456"/>
      <c r="AJ265" s="456"/>
      <c r="AM265" s="455"/>
      <c r="AN265" s="456"/>
      <c r="AO265" s="456"/>
      <c r="AR265" s="455"/>
      <c r="AS265" s="456"/>
      <c r="AT265" s="456"/>
      <c r="AW265" s="455"/>
      <c r="AX265" s="456"/>
      <c r="AY265" s="456"/>
    </row>
    <row r="266" spans="1:51" x14ac:dyDescent="0.2">
      <c r="A266" s="447">
        <f t="shared" si="5"/>
        <v>264</v>
      </c>
      <c r="B266" s="462">
        <v>701</v>
      </c>
      <c r="C266" s="457" t="s">
        <v>1374</v>
      </c>
      <c r="D266" s="459">
        <v>0</v>
      </c>
      <c r="E266" s="460"/>
      <c r="F266" s="460"/>
      <c r="G266" s="452">
        <v>37987</v>
      </c>
      <c r="H266" s="453">
        <v>40633</v>
      </c>
      <c r="I266" s="455">
        <v>7.4999999999999997E-3</v>
      </c>
      <c r="J266" s="456"/>
      <c r="K266" s="456"/>
      <c r="L266" s="452">
        <v>40634</v>
      </c>
      <c r="N266" s="455"/>
      <c r="O266" s="456"/>
      <c r="P266" s="456"/>
      <c r="S266" s="455"/>
      <c r="T266" s="456"/>
      <c r="U266" s="456"/>
      <c r="X266" s="455"/>
      <c r="Y266" s="456"/>
      <c r="Z266" s="456"/>
      <c r="AC266" s="455"/>
      <c r="AD266" s="456"/>
      <c r="AE266" s="456"/>
      <c r="AH266" s="455"/>
      <c r="AI266" s="456"/>
      <c r="AJ266" s="456"/>
      <c r="AM266" s="455"/>
      <c r="AN266" s="456"/>
      <c r="AO266" s="456"/>
      <c r="AR266" s="455"/>
      <c r="AS266" s="456"/>
      <c r="AT266" s="456"/>
      <c r="AW266" s="455"/>
      <c r="AX266" s="456"/>
      <c r="AY266" s="456"/>
    </row>
    <row r="267" spans="1:51" x14ac:dyDescent="0.2">
      <c r="A267" s="447">
        <f t="shared" si="5"/>
        <v>265</v>
      </c>
      <c r="B267" s="462">
        <v>707</v>
      </c>
      <c r="C267" s="457" t="s">
        <v>224</v>
      </c>
      <c r="D267" s="455">
        <v>0.01</v>
      </c>
      <c r="E267" s="456"/>
      <c r="F267" s="456"/>
      <c r="G267" s="452">
        <v>37987</v>
      </c>
      <c r="I267" s="455"/>
      <c r="J267" s="456"/>
      <c r="K267" s="456"/>
      <c r="N267" s="455"/>
      <c r="O267" s="456"/>
      <c r="P267" s="456"/>
      <c r="S267" s="455"/>
      <c r="T267" s="456"/>
      <c r="U267" s="456"/>
      <c r="X267" s="455"/>
      <c r="Y267" s="456"/>
      <c r="Z267" s="456"/>
      <c r="AC267" s="455"/>
      <c r="AD267" s="456"/>
      <c r="AE267" s="456"/>
      <c r="AH267" s="455"/>
      <c r="AI267" s="456"/>
      <c r="AJ267" s="456"/>
      <c r="AM267" s="455"/>
      <c r="AN267" s="456"/>
      <c r="AO267" s="456"/>
      <c r="AR267" s="455"/>
      <c r="AS267" s="456"/>
      <c r="AT267" s="456"/>
      <c r="AW267" s="455"/>
      <c r="AX267" s="456"/>
      <c r="AY267" s="456"/>
    </row>
    <row r="268" spans="1:51" x14ac:dyDescent="0.2">
      <c r="A268" s="447">
        <f t="shared" si="5"/>
        <v>266</v>
      </c>
      <c r="B268" s="462">
        <v>712</v>
      </c>
      <c r="C268" s="457" t="s">
        <v>225</v>
      </c>
      <c r="D268" s="459">
        <v>0.01</v>
      </c>
      <c r="E268" s="460"/>
      <c r="F268" s="460"/>
      <c r="G268" s="452">
        <v>37987</v>
      </c>
      <c r="I268" s="455"/>
      <c r="J268" s="456"/>
      <c r="K268" s="456"/>
      <c r="N268" s="455"/>
      <c r="O268" s="456"/>
      <c r="P268" s="456"/>
      <c r="S268" s="455"/>
      <c r="T268" s="456"/>
      <c r="U268" s="456"/>
      <c r="X268" s="455"/>
      <c r="Y268" s="456"/>
      <c r="Z268" s="456"/>
      <c r="AC268" s="455"/>
      <c r="AD268" s="456"/>
      <c r="AE268" s="456"/>
      <c r="AH268" s="455"/>
      <c r="AI268" s="456"/>
      <c r="AJ268" s="456"/>
      <c r="AM268" s="455"/>
      <c r="AN268" s="456"/>
      <c r="AO268" s="456"/>
      <c r="AR268" s="455"/>
      <c r="AS268" s="456"/>
      <c r="AT268" s="456"/>
      <c r="AW268" s="455"/>
      <c r="AX268" s="456"/>
      <c r="AY268" s="456"/>
    </row>
    <row r="269" spans="1:51" x14ac:dyDescent="0.2">
      <c r="A269" s="447">
        <f t="shared" si="5"/>
        <v>267</v>
      </c>
      <c r="B269" s="462">
        <v>710</v>
      </c>
      <c r="C269" s="458" t="s">
        <v>226</v>
      </c>
      <c r="D269" s="455">
        <v>0.01</v>
      </c>
      <c r="E269" s="456"/>
      <c r="F269" s="456"/>
      <c r="G269" s="452">
        <v>37987</v>
      </c>
      <c r="H269" s="453">
        <v>42004</v>
      </c>
      <c r="I269" s="455">
        <v>1.2500000000000001E-2</v>
      </c>
      <c r="J269" s="456"/>
      <c r="K269" s="456"/>
      <c r="L269" s="452">
        <v>42005</v>
      </c>
      <c r="N269" s="455"/>
      <c r="O269" s="456"/>
      <c r="P269" s="456"/>
      <c r="S269" s="455"/>
      <c r="T269" s="456"/>
      <c r="U269" s="456"/>
      <c r="X269" s="455"/>
      <c r="Y269" s="456"/>
      <c r="Z269" s="456"/>
      <c r="AC269" s="455"/>
      <c r="AD269" s="456"/>
      <c r="AE269" s="456"/>
      <c r="AH269" s="455"/>
      <c r="AI269" s="456"/>
      <c r="AJ269" s="456"/>
      <c r="AM269" s="455"/>
      <c r="AN269" s="456"/>
      <c r="AO269" s="456"/>
      <c r="AR269" s="455"/>
      <c r="AS269" s="456"/>
      <c r="AT269" s="456"/>
      <c r="AW269" s="455"/>
      <c r="AX269" s="456"/>
      <c r="AY269" s="456"/>
    </row>
    <row r="270" spans="1:51" x14ac:dyDescent="0.2">
      <c r="A270" s="447">
        <f t="shared" si="5"/>
        <v>268</v>
      </c>
      <c r="B270" s="462">
        <v>711</v>
      </c>
      <c r="C270" s="457" t="s">
        <v>1375</v>
      </c>
      <c r="D270" s="455">
        <v>5.0000000000000001E-3</v>
      </c>
      <c r="E270" s="456"/>
      <c r="F270" s="456"/>
      <c r="G270" s="452">
        <v>37987</v>
      </c>
      <c r="H270" s="453">
        <v>39447</v>
      </c>
      <c r="I270" s="455">
        <v>0.01</v>
      </c>
      <c r="J270" s="456"/>
      <c r="K270" s="456"/>
      <c r="L270" s="452">
        <v>39448</v>
      </c>
      <c r="N270" s="455"/>
      <c r="O270" s="456"/>
      <c r="P270" s="456"/>
      <c r="S270" s="455"/>
      <c r="T270" s="456"/>
      <c r="U270" s="456"/>
      <c r="X270" s="455"/>
      <c r="Y270" s="456"/>
      <c r="Z270" s="456"/>
      <c r="AC270" s="455"/>
      <c r="AD270" s="456"/>
      <c r="AE270" s="456"/>
      <c r="AH270" s="455"/>
      <c r="AI270" s="456"/>
      <c r="AJ270" s="456"/>
      <c r="AM270" s="455"/>
      <c r="AN270" s="456"/>
      <c r="AO270" s="456"/>
      <c r="AR270" s="455"/>
      <c r="AS270" s="456"/>
      <c r="AT270" s="456"/>
      <c r="AW270" s="455"/>
      <c r="AX270" s="456"/>
      <c r="AY270" s="456"/>
    </row>
    <row r="271" spans="1:51" x14ac:dyDescent="0.2">
      <c r="A271" s="447">
        <f t="shared" si="5"/>
        <v>269</v>
      </c>
      <c r="B271" s="462">
        <v>716</v>
      </c>
      <c r="C271" s="458" t="s">
        <v>1475</v>
      </c>
      <c r="D271" s="455">
        <v>0</v>
      </c>
      <c r="E271" s="456"/>
      <c r="F271" s="456"/>
      <c r="G271" s="452">
        <v>37987</v>
      </c>
      <c r="H271" s="453">
        <v>42004</v>
      </c>
      <c r="I271" s="455">
        <v>0.02</v>
      </c>
      <c r="J271" s="456"/>
      <c r="K271" s="456"/>
      <c r="L271" s="452">
        <v>42005</v>
      </c>
      <c r="N271" s="455"/>
      <c r="O271" s="456"/>
      <c r="P271" s="456"/>
      <c r="S271" s="455"/>
      <c r="T271" s="456"/>
      <c r="U271" s="456"/>
      <c r="X271" s="455"/>
      <c r="Y271" s="456"/>
      <c r="Z271" s="456"/>
      <c r="AC271" s="455"/>
      <c r="AD271" s="456"/>
      <c r="AE271" s="456"/>
      <c r="AH271" s="455"/>
      <c r="AI271" s="456"/>
      <c r="AJ271" s="456"/>
      <c r="AM271" s="455"/>
      <c r="AN271" s="456"/>
      <c r="AO271" s="456"/>
      <c r="AR271" s="455"/>
      <c r="AS271" s="456"/>
      <c r="AT271" s="456"/>
      <c r="AW271" s="455"/>
      <c r="AX271" s="456"/>
      <c r="AY271" s="456"/>
    </row>
    <row r="272" spans="1:51" x14ac:dyDescent="0.2">
      <c r="A272" s="461">
        <f t="shared" si="5"/>
        <v>270</v>
      </c>
      <c r="B272" s="462">
        <v>713</v>
      </c>
      <c r="C272" s="457" t="s">
        <v>1619</v>
      </c>
      <c r="D272" s="455">
        <v>1.4999999999999999E-2</v>
      </c>
      <c r="E272" s="456"/>
      <c r="F272" s="456"/>
      <c r="G272" s="452">
        <v>37987</v>
      </c>
      <c r="H272" s="453">
        <v>39082</v>
      </c>
      <c r="I272" s="455">
        <v>0.02</v>
      </c>
      <c r="J272" s="456"/>
      <c r="K272" s="456"/>
      <c r="L272" s="452">
        <v>39083</v>
      </c>
      <c r="N272" s="455"/>
      <c r="O272" s="456"/>
      <c r="P272" s="456"/>
      <c r="S272" s="455"/>
      <c r="T272" s="456"/>
      <c r="U272" s="456"/>
      <c r="X272" s="455"/>
      <c r="Y272" s="456"/>
      <c r="Z272" s="456"/>
      <c r="AC272" s="455"/>
      <c r="AD272" s="456"/>
      <c r="AE272" s="456"/>
      <c r="AH272" s="455"/>
      <c r="AI272" s="456"/>
      <c r="AJ272" s="456"/>
      <c r="AM272" s="455"/>
      <c r="AN272" s="456"/>
      <c r="AO272" s="456"/>
      <c r="AR272" s="455"/>
      <c r="AS272" s="456"/>
      <c r="AT272" s="456"/>
      <c r="AW272" s="455"/>
      <c r="AX272" s="456"/>
      <c r="AY272" s="456"/>
    </row>
    <row r="273" spans="1:51" x14ac:dyDescent="0.2">
      <c r="A273" s="447">
        <f t="shared" si="5"/>
        <v>271</v>
      </c>
      <c r="B273" s="462">
        <v>720</v>
      </c>
      <c r="C273" s="457" t="s">
        <v>227</v>
      </c>
      <c r="D273" s="455">
        <v>0.02</v>
      </c>
      <c r="E273" s="456"/>
      <c r="F273" s="456"/>
      <c r="G273" s="452">
        <v>37987</v>
      </c>
      <c r="H273" s="453">
        <v>42735</v>
      </c>
      <c r="I273" s="455">
        <v>2.5000000000000001E-2</v>
      </c>
      <c r="J273" s="456"/>
      <c r="K273" s="456"/>
      <c r="L273" s="452">
        <v>42736</v>
      </c>
      <c r="N273" s="455"/>
      <c r="O273" s="456"/>
      <c r="P273" s="456"/>
      <c r="S273" s="455"/>
      <c r="T273" s="456"/>
      <c r="U273" s="456"/>
      <c r="X273" s="455"/>
      <c r="Y273" s="456"/>
      <c r="Z273" s="456"/>
      <c r="AC273" s="455"/>
      <c r="AD273" s="456"/>
      <c r="AE273" s="456"/>
      <c r="AH273" s="455"/>
      <c r="AI273" s="456"/>
      <c r="AJ273" s="456"/>
      <c r="AM273" s="455"/>
      <c r="AN273" s="456"/>
      <c r="AO273" s="456"/>
      <c r="AR273" s="455"/>
      <c r="AS273" s="456"/>
      <c r="AT273" s="456"/>
      <c r="AW273" s="455"/>
      <c r="AX273" s="456"/>
      <c r="AY273" s="456"/>
    </row>
    <row r="274" spans="1:51" x14ac:dyDescent="0.2">
      <c r="A274" s="447">
        <f t="shared" si="5"/>
        <v>272</v>
      </c>
      <c r="B274" s="462">
        <v>750</v>
      </c>
      <c r="C274" s="457" t="s">
        <v>228</v>
      </c>
      <c r="D274" s="455">
        <v>1.7500000000000002E-2</v>
      </c>
      <c r="E274" s="456"/>
      <c r="F274" s="456"/>
      <c r="G274" s="452">
        <v>37987</v>
      </c>
      <c r="H274" s="453">
        <v>41182</v>
      </c>
      <c r="I274" s="455">
        <v>2.2499999999999999E-2</v>
      </c>
      <c r="J274" s="456"/>
      <c r="K274" s="456"/>
      <c r="L274" s="452">
        <v>41183</v>
      </c>
      <c r="N274" s="455"/>
      <c r="O274" s="456"/>
      <c r="P274" s="456"/>
      <c r="S274" s="455"/>
      <c r="T274" s="456"/>
      <c r="U274" s="456"/>
      <c r="X274" s="455"/>
      <c r="Y274" s="456"/>
      <c r="Z274" s="456"/>
      <c r="AC274" s="455"/>
      <c r="AD274" s="456"/>
      <c r="AE274" s="456"/>
      <c r="AH274" s="455"/>
      <c r="AI274" s="456"/>
      <c r="AJ274" s="456"/>
      <c r="AM274" s="455"/>
      <c r="AN274" s="456"/>
      <c r="AO274" s="456"/>
      <c r="AR274" s="455"/>
      <c r="AS274" s="456"/>
      <c r="AT274" s="456"/>
      <c r="AW274" s="455"/>
      <c r="AX274" s="456"/>
      <c r="AY274" s="456"/>
    </row>
    <row r="275" spans="1:51" x14ac:dyDescent="0.2">
      <c r="A275" s="447">
        <f t="shared" si="5"/>
        <v>273</v>
      </c>
      <c r="B275" s="462">
        <v>749</v>
      </c>
      <c r="C275" s="457" t="s">
        <v>229</v>
      </c>
      <c r="D275" s="459">
        <v>0.02</v>
      </c>
      <c r="E275" s="460"/>
      <c r="F275" s="460"/>
      <c r="G275" s="452">
        <v>37987</v>
      </c>
      <c r="I275" s="455"/>
      <c r="J275" s="456"/>
      <c r="K275" s="456"/>
      <c r="N275" s="455"/>
      <c r="O275" s="456"/>
      <c r="P275" s="456"/>
      <c r="S275" s="455"/>
      <c r="T275" s="456"/>
      <c r="U275" s="456"/>
      <c r="X275" s="455"/>
      <c r="Y275" s="456"/>
      <c r="Z275" s="456"/>
      <c r="AC275" s="455"/>
      <c r="AD275" s="456"/>
      <c r="AE275" s="456"/>
      <c r="AH275" s="455"/>
      <c r="AI275" s="456"/>
      <c r="AJ275" s="456"/>
      <c r="AM275" s="455"/>
      <c r="AN275" s="456"/>
      <c r="AO275" s="456"/>
      <c r="AR275" s="455"/>
      <c r="AS275" s="456"/>
      <c r="AT275" s="456"/>
      <c r="AW275" s="455"/>
      <c r="AX275" s="456"/>
      <c r="AY275" s="456"/>
    </row>
    <row r="276" spans="1:51" x14ac:dyDescent="0.2">
      <c r="A276" s="447">
        <f t="shared" si="5"/>
        <v>274</v>
      </c>
      <c r="B276" s="462">
        <v>751</v>
      </c>
      <c r="C276" s="458" t="s">
        <v>230</v>
      </c>
      <c r="D276" s="459">
        <v>1.2500000000000001E-2</v>
      </c>
      <c r="E276" s="460"/>
      <c r="F276" s="460"/>
      <c r="G276" s="452">
        <v>37987</v>
      </c>
      <c r="H276" s="453">
        <v>38898</v>
      </c>
      <c r="I276" s="455">
        <v>1.4999999999999999E-2</v>
      </c>
      <c r="J276" s="456"/>
      <c r="K276" s="456"/>
      <c r="L276" s="452">
        <v>38899</v>
      </c>
      <c r="M276" s="453">
        <v>41820</v>
      </c>
      <c r="N276" s="455">
        <v>0.02</v>
      </c>
      <c r="O276" s="456"/>
      <c r="P276" s="456"/>
      <c r="Q276" s="452">
        <v>41821</v>
      </c>
      <c r="S276" s="455"/>
      <c r="T276" s="456"/>
      <c r="U276" s="456"/>
      <c r="X276" s="455"/>
      <c r="Y276" s="456"/>
      <c r="Z276" s="456"/>
      <c r="AC276" s="455"/>
      <c r="AD276" s="456"/>
      <c r="AE276" s="456"/>
      <c r="AH276" s="455"/>
      <c r="AI276" s="456"/>
      <c r="AJ276" s="456"/>
      <c r="AM276" s="455"/>
      <c r="AN276" s="456"/>
      <c r="AO276" s="456"/>
      <c r="AR276" s="455"/>
      <c r="AS276" s="456"/>
      <c r="AT276" s="456"/>
      <c r="AW276" s="455"/>
      <c r="AX276" s="456"/>
      <c r="AY276" s="456"/>
    </row>
    <row r="277" spans="1:51" x14ac:dyDescent="0.2">
      <c r="A277" s="447">
        <f t="shared" si="5"/>
        <v>275</v>
      </c>
      <c r="B277" s="462">
        <v>752</v>
      </c>
      <c r="C277" s="457" t="s">
        <v>231</v>
      </c>
      <c r="D277" s="455">
        <v>1.4999999999999999E-2</v>
      </c>
      <c r="E277" s="456"/>
      <c r="F277" s="456"/>
      <c r="G277" s="452">
        <v>37987</v>
      </c>
      <c r="H277" s="453">
        <v>39963</v>
      </c>
      <c r="I277" s="455">
        <v>0.02</v>
      </c>
      <c r="J277" s="456"/>
      <c r="K277" s="456"/>
      <c r="L277" s="452">
        <v>39964</v>
      </c>
      <c r="N277" s="455"/>
      <c r="O277" s="456"/>
      <c r="P277" s="456"/>
      <c r="S277" s="455"/>
      <c r="T277" s="456"/>
      <c r="U277" s="456"/>
      <c r="X277" s="455"/>
      <c r="Y277" s="456"/>
      <c r="Z277" s="456"/>
      <c r="AC277" s="455"/>
      <c r="AD277" s="456"/>
      <c r="AE277" s="456"/>
      <c r="AH277" s="455"/>
      <c r="AI277" s="456"/>
      <c r="AJ277" s="456"/>
      <c r="AM277" s="455"/>
      <c r="AN277" s="456"/>
      <c r="AO277" s="456"/>
      <c r="AR277" s="455"/>
      <c r="AS277" s="456"/>
      <c r="AT277" s="456"/>
      <c r="AW277" s="455"/>
      <c r="AX277" s="456"/>
      <c r="AY277" s="456"/>
    </row>
    <row r="278" spans="1:51" x14ac:dyDescent="0.2">
      <c r="A278" s="447">
        <f t="shared" si="5"/>
        <v>276</v>
      </c>
      <c r="B278" s="462">
        <v>748</v>
      </c>
      <c r="C278" s="457" t="s">
        <v>232</v>
      </c>
      <c r="D278" s="455">
        <v>0.01</v>
      </c>
      <c r="E278" s="456"/>
      <c r="F278" s="456"/>
      <c r="G278" s="452">
        <v>37987</v>
      </c>
      <c r="I278" s="455"/>
      <c r="J278" s="456"/>
      <c r="K278" s="456"/>
      <c r="N278" s="455"/>
      <c r="O278" s="456"/>
      <c r="P278" s="456"/>
      <c r="S278" s="455"/>
      <c r="T278" s="456"/>
      <c r="U278" s="456"/>
      <c r="X278" s="455"/>
      <c r="Y278" s="456"/>
      <c r="Z278" s="456"/>
      <c r="AC278" s="455"/>
      <c r="AD278" s="456"/>
      <c r="AE278" s="456"/>
      <c r="AH278" s="455"/>
      <c r="AI278" s="456"/>
      <c r="AJ278" s="456"/>
      <c r="AM278" s="455"/>
      <c r="AN278" s="456"/>
      <c r="AO278" s="456"/>
      <c r="AR278" s="455"/>
      <c r="AS278" s="456"/>
      <c r="AT278" s="456"/>
      <c r="AW278" s="455"/>
      <c r="AX278" s="456"/>
      <c r="AY278" s="456"/>
    </row>
    <row r="279" spans="1:51" x14ac:dyDescent="0.2">
      <c r="A279" s="447">
        <f t="shared" si="5"/>
        <v>277</v>
      </c>
      <c r="B279" s="462">
        <v>756</v>
      </c>
      <c r="C279" s="457" t="s">
        <v>233</v>
      </c>
      <c r="D279" s="455">
        <v>0.02</v>
      </c>
      <c r="E279" s="456"/>
      <c r="F279" s="456"/>
      <c r="G279" s="452">
        <v>37987</v>
      </c>
      <c r="I279" s="455"/>
      <c r="J279" s="456"/>
      <c r="K279" s="456"/>
      <c r="N279" s="455"/>
      <c r="O279" s="456"/>
      <c r="P279" s="456"/>
      <c r="S279" s="455"/>
      <c r="T279" s="456"/>
      <c r="U279" s="456"/>
      <c r="X279" s="455"/>
      <c r="Y279" s="456"/>
      <c r="Z279" s="456"/>
      <c r="AC279" s="455"/>
      <c r="AD279" s="456"/>
      <c r="AE279" s="456"/>
      <c r="AH279" s="455"/>
      <c r="AI279" s="456"/>
      <c r="AJ279" s="456"/>
      <c r="AM279" s="455"/>
      <c r="AN279" s="456"/>
      <c r="AO279" s="456"/>
      <c r="AR279" s="455"/>
      <c r="AS279" s="456"/>
      <c r="AT279" s="456"/>
      <c r="AW279" s="455"/>
      <c r="AX279" s="456"/>
      <c r="AY279" s="456"/>
    </row>
    <row r="280" spans="1:51" x14ac:dyDescent="0.2">
      <c r="A280" s="447">
        <f t="shared" si="5"/>
        <v>278</v>
      </c>
      <c r="B280" s="462">
        <v>757</v>
      </c>
      <c r="C280" s="457" t="s">
        <v>1286</v>
      </c>
      <c r="D280" s="455">
        <v>1.2500000000000001E-2</v>
      </c>
      <c r="E280" s="456"/>
      <c r="F280" s="456"/>
      <c r="G280" s="452">
        <v>37987</v>
      </c>
      <c r="I280" s="455"/>
      <c r="J280" s="456"/>
      <c r="K280" s="456"/>
      <c r="N280" s="455"/>
      <c r="O280" s="456"/>
      <c r="P280" s="456"/>
      <c r="S280" s="455"/>
      <c r="T280" s="456"/>
      <c r="U280" s="456"/>
      <c r="X280" s="455"/>
      <c r="Y280" s="456"/>
      <c r="Z280" s="456"/>
      <c r="AC280" s="455"/>
      <c r="AD280" s="456"/>
      <c r="AE280" s="456"/>
      <c r="AH280" s="455"/>
      <c r="AI280" s="456"/>
      <c r="AJ280" s="456"/>
      <c r="AM280" s="455"/>
      <c r="AN280" s="456"/>
      <c r="AO280" s="456"/>
      <c r="AR280" s="455"/>
      <c r="AS280" s="456"/>
      <c r="AT280" s="456"/>
      <c r="AW280" s="455"/>
      <c r="AX280" s="456"/>
      <c r="AY280" s="456"/>
    </row>
    <row r="281" spans="1:51" x14ac:dyDescent="0.2">
      <c r="A281" s="447">
        <f t="shared" si="5"/>
        <v>279</v>
      </c>
      <c r="B281" s="462">
        <v>863</v>
      </c>
      <c r="C281" s="458" t="s">
        <v>1599</v>
      </c>
      <c r="D281" s="455">
        <v>0</v>
      </c>
      <c r="E281" s="456"/>
      <c r="F281" s="456"/>
      <c r="G281" s="452">
        <v>37987</v>
      </c>
      <c r="H281" s="453">
        <v>42735</v>
      </c>
      <c r="I281" s="455">
        <v>0.01</v>
      </c>
      <c r="J281" s="456"/>
      <c r="K281" s="456"/>
      <c r="L281" s="452">
        <v>42736</v>
      </c>
      <c r="N281" s="455"/>
      <c r="O281" s="456"/>
      <c r="P281" s="456"/>
      <c r="S281" s="455"/>
      <c r="T281" s="456"/>
      <c r="U281" s="456"/>
      <c r="X281" s="455"/>
      <c r="Y281" s="456"/>
      <c r="Z281" s="456"/>
      <c r="AC281" s="455"/>
      <c r="AD281" s="456"/>
      <c r="AE281" s="456"/>
      <c r="AH281" s="455"/>
      <c r="AI281" s="456"/>
      <c r="AJ281" s="456"/>
      <c r="AM281" s="455"/>
      <c r="AN281" s="456"/>
      <c r="AO281" s="456"/>
      <c r="AR281" s="455"/>
      <c r="AS281" s="456"/>
      <c r="AT281" s="456"/>
      <c r="AW281" s="455"/>
      <c r="AX281" s="456"/>
      <c r="AY281" s="456"/>
    </row>
    <row r="282" spans="1:51" x14ac:dyDescent="0.2">
      <c r="A282" s="447">
        <f t="shared" si="5"/>
        <v>280</v>
      </c>
      <c r="B282" s="462">
        <v>760</v>
      </c>
      <c r="C282" s="458" t="s">
        <v>1439</v>
      </c>
      <c r="D282" s="455">
        <v>0.02</v>
      </c>
      <c r="E282" s="456"/>
      <c r="F282" s="456"/>
      <c r="G282" s="452">
        <v>37987</v>
      </c>
      <c r="I282" s="455"/>
      <c r="J282" s="456"/>
      <c r="K282" s="456"/>
      <c r="N282" s="455"/>
      <c r="O282" s="456"/>
      <c r="P282" s="456"/>
      <c r="S282" s="455"/>
      <c r="T282" s="456"/>
      <c r="U282" s="456"/>
      <c r="X282" s="455"/>
      <c r="Y282" s="456"/>
      <c r="Z282" s="456"/>
      <c r="AC282" s="455"/>
      <c r="AD282" s="456"/>
      <c r="AE282" s="456"/>
      <c r="AH282" s="455"/>
      <c r="AI282" s="456"/>
      <c r="AJ282" s="456"/>
      <c r="AM282" s="455"/>
      <c r="AN282" s="456"/>
      <c r="AO282" s="456"/>
      <c r="AR282" s="455"/>
      <c r="AS282" s="456"/>
      <c r="AT282" s="456"/>
      <c r="AW282" s="455"/>
      <c r="AX282" s="456"/>
      <c r="AY282" s="456"/>
    </row>
    <row r="283" spans="1:51" x14ac:dyDescent="0.2">
      <c r="A283" s="447">
        <f t="shared" si="5"/>
        <v>281</v>
      </c>
      <c r="B283" s="462">
        <v>763</v>
      </c>
      <c r="C283" s="457" t="s">
        <v>1318</v>
      </c>
      <c r="D283" s="455">
        <v>0.01</v>
      </c>
      <c r="E283" s="456"/>
      <c r="F283" s="456"/>
      <c r="G283" s="452">
        <v>37987</v>
      </c>
      <c r="H283" s="453">
        <v>43100</v>
      </c>
      <c r="I283" s="455">
        <v>1.2500000000000001E-2</v>
      </c>
      <c r="J283" s="456"/>
      <c r="K283" s="456"/>
      <c r="L283" s="452">
        <v>43101</v>
      </c>
      <c r="N283" s="455"/>
      <c r="O283" s="456"/>
      <c r="P283" s="456"/>
      <c r="S283" s="455"/>
      <c r="T283" s="456"/>
      <c r="U283" s="456"/>
      <c r="X283" s="455"/>
      <c r="Y283" s="456"/>
      <c r="Z283" s="456"/>
      <c r="AC283" s="455"/>
      <c r="AD283" s="456"/>
      <c r="AE283" s="456"/>
      <c r="AH283" s="455"/>
      <c r="AI283" s="456"/>
      <c r="AJ283" s="456"/>
      <c r="AM283" s="455"/>
      <c r="AN283" s="456"/>
      <c r="AO283" s="456"/>
      <c r="AR283" s="455"/>
      <c r="AS283" s="456"/>
      <c r="AT283" s="456"/>
      <c r="AW283" s="455"/>
      <c r="AX283" s="456"/>
      <c r="AY283" s="456"/>
    </row>
    <row r="284" spans="1:51" x14ac:dyDescent="0.2">
      <c r="A284" s="447">
        <f t="shared" si="5"/>
        <v>282</v>
      </c>
      <c r="B284" s="462">
        <v>770</v>
      </c>
      <c r="C284" s="457" t="s">
        <v>234</v>
      </c>
      <c r="D284" s="459">
        <v>1.4999999999999999E-2</v>
      </c>
      <c r="E284" s="460"/>
      <c r="F284" s="460"/>
      <c r="G284" s="452">
        <v>37987</v>
      </c>
      <c r="H284" s="453">
        <v>38717</v>
      </c>
      <c r="I284" s="455">
        <v>0.02</v>
      </c>
      <c r="J284" s="456"/>
      <c r="K284" s="456"/>
      <c r="L284" s="452">
        <v>38718</v>
      </c>
      <c r="N284" s="455"/>
      <c r="O284" s="456"/>
      <c r="P284" s="456"/>
      <c r="S284" s="455"/>
      <c r="T284" s="456"/>
      <c r="U284" s="456"/>
      <c r="X284" s="455"/>
      <c r="Y284" s="456"/>
      <c r="Z284" s="456"/>
      <c r="AC284" s="455"/>
      <c r="AD284" s="456"/>
      <c r="AE284" s="456"/>
      <c r="AH284" s="455"/>
      <c r="AI284" s="456"/>
      <c r="AJ284" s="456"/>
      <c r="AM284" s="455"/>
      <c r="AN284" s="456"/>
      <c r="AO284" s="456"/>
      <c r="AR284" s="455"/>
      <c r="AS284" s="456"/>
      <c r="AT284" s="456"/>
      <c r="AW284" s="455"/>
      <c r="AX284" s="456"/>
      <c r="AY284" s="456"/>
    </row>
    <row r="285" spans="1:51" x14ac:dyDescent="0.2">
      <c r="A285" s="447">
        <f t="shared" si="5"/>
        <v>283</v>
      </c>
      <c r="B285" s="462">
        <v>769</v>
      </c>
      <c r="C285" s="458" t="s">
        <v>235</v>
      </c>
      <c r="D285" s="455">
        <v>0.01</v>
      </c>
      <c r="E285" s="456"/>
      <c r="F285" s="456"/>
      <c r="G285" s="452">
        <v>37987</v>
      </c>
      <c r="H285" s="453">
        <v>39813</v>
      </c>
      <c r="I285" s="455">
        <v>0</v>
      </c>
      <c r="J285" s="456"/>
      <c r="K285" s="456"/>
      <c r="L285" s="452">
        <v>39814</v>
      </c>
      <c r="M285" s="453">
        <v>41820</v>
      </c>
      <c r="N285" s="455">
        <v>0.01</v>
      </c>
      <c r="O285" s="456"/>
      <c r="P285" s="456"/>
      <c r="Q285" s="452">
        <v>41821</v>
      </c>
      <c r="S285" s="455"/>
      <c r="T285" s="456"/>
      <c r="U285" s="456"/>
      <c r="X285" s="455"/>
      <c r="Y285" s="456"/>
      <c r="Z285" s="456"/>
      <c r="AC285" s="455"/>
      <c r="AD285" s="456"/>
      <c r="AE285" s="456"/>
      <c r="AH285" s="455"/>
      <c r="AI285" s="456"/>
      <c r="AJ285" s="456"/>
      <c r="AM285" s="455"/>
      <c r="AN285" s="456"/>
      <c r="AO285" s="456"/>
      <c r="AR285" s="455"/>
      <c r="AS285" s="456"/>
      <c r="AT285" s="456"/>
      <c r="AW285" s="455"/>
      <c r="AX285" s="456"/>
      <c r="AY285" s="456"/>
    </row>
    <row r="286" spans="1:51" x14ac:dyDescent="0.2">
      <c r="A286" s="447">
        <f t="shared" si="5"/>
        <v>284</v>
      </c>
      <c r="B286" s="462">
        <v>725</v>
      </c>
      <c r="C286" s="458" t="s">
        <v>1583</v>
      </c>
      <c r="D286" s="455">
        <v>0</v>
      </c>
      <c r="E286" s="456"/>
      <c r="F286" s="456"/>
      <c r="G286" s="452">
        <v>37987</v>
      </c>
      <c r="H286" s="453">
        <v>42735</v>
      </c>
      <c r="I286" s="455">
        <v>0.01</v>
      </c>
      <c r="J286" s="456"/>
      <c r="K286" s="456"/>
      <c r="L286" s="452">
        <v>42736</v>
      </c>
      <c r="N286" s="455"/>
      <c r="O286" s="456"/>
      <c r="P286" s="456"/>
      <c r="S286" s="455"/>
      <c r="T286" s="456"/>
      <c r="U286" s="456"/>
      <c r="X286" s="455"/>
      <c r="Y286" s="456"/>
      <c r="Z286" s="456"/>
      <c r="AC286" s="455"/>
      <c r="AD286" s="456"/>
      <c r="AE286" s="456"/>
      <c r="AH286" s="455"/>
      <c r="AI286" s="456"/>
      <c r="AJ286" s="456"/>
      <c r="AM286" s="455"/>
      <c r="AN286" s="456"/>
      <c r="AO286" s="456"/>
      <c r="AR286" s="455"/>
      <c r="AS286" s="456"/>
      <c r="AT286" s="456"/>
      <c r="AW286" s="455"/>
      <c r="AX286" s="456"/>
      <c r="AY286" s="456"/>
    </row>
    <row r="287" spans="1:51" x14ac:dyDescent="0.2">
      <c r="A287" s="447">
        <f t="shared" si="5"/>
        <v>285</v>
      </c>
      <c r="B287" s="462">
        <v>627</v>
      </c>
      <c r="C287" s="458" t="s">
        <v>1476</v>
      </c>
      <c r="D287" s="455">
        <v>0</v>
      </c>
      <c r="E287" s="456"/>
      <c r="F287" s="456"/>
      <c r="G287" s="452">
        <v>37987</v>
      </c>
      <c r="H287" s="453">
        <v>41851</v>
      </c>
      <c r="I287" s="455">
        <v>1.4999999999999999E-2</v>
      </c>
      <c r="J287" s="456"/>
      <c r="K287" s="456"/>
      <c r="L287" s="452">
        <v>41852</v>
      </c>
      <c r="N287" s="455"/>
      <c r="O287" s="456"/>
      <c r="P287" s="456"/>
      <c r="S287" s="455"/>
      <c r="T287" s="456"/>
      <c r="U287" s="456"/>
      <c r="X287" s="455"/>
      <c r="Y287" s="456"/>
      <c r="Z287" s="456"/>
      <c r="AC287" s="455"/>
      <c r="AD287" s="456"/>
      <c r="AE287" s="456"/>
      <c r="AH287" s="455"/>
      <c r="AI287" s="456"/>
      <c r="AJ287" s="456"/>
      <c r="AM287" s="455"/>
      <c r="AN287" s="456"/>
      <c r="AO287" s="456"/>
      <c r="AR287" s="455"/>
      <c r="AS287" s="456"/>
      <c r="AT287" s="456"/>
      <c r="AW287" s="455"/>
      <c r="AX287" s="456"/>
      <c r="AY287" s="456"/>
    </row>
    <row r="288" spans="1:51" x14ac:dyDescent="0.2">
      <c r="A288" s="447">
        <f t="shared" si="5"/>
        <v>286</v>
      </c>
      <c r="B288" s="462">
        <v>857</v>
      </c>
      <c r="C288" s="458" t="s">
        <v>1644</v>
      </c>
      <c r="D288" s="459">
        <v>0</v>
      </c>
      <c r="E288" s="460"/>
      <c r="F288" s="460"/>
      <c r="G288" s="452">
        <v>37987</v>
      </c>
      <c r="H288" s="453">
        <v>42735</v>
      </c>
      <c r="I288" s="455">
        <v>0.01</v>
      </c>
      <c r="J288" s="456"/>
      <c r="K288" s="456"/>
      <c r="L288" s="452">
        <v>42736</v>
      </c>
      <c r="N288" s="455"/>
      <c r="O288" s="456"/>
      <c r="P288" s="456"/>
      <c r="S288" s="455"/>
      <c r="T288" s="456"/>
      <c r="U288" s="456"/>
      <c r="X288" s="455"/>
      <c r="Y288" s="456"/>
      <c r="Z288" s="456"/>
      <c r="AC288" s="455"/>
      <c r="AD288" s="456"/>
      <c r="AE288" s="456"/>
      <c r="AH288" s="455"/>
      <c r="AI288" s="456"/>
      <c r="AJ288" s="456"/>
      <c r="AM288" s="455"/>
      <c r="AN288" s="456"/>
      <c r="AO288" s="456"/>
      <c r="AR288" s="455"/>
      <c r="AS288" s="456"/>
      <c r="AT288" s="456"/>
      <c r="AW288" s="455"/>
      <c r="AX288" s="456"/>
      <c r="AY288" s="456"/>
    </row>
    <row r="289" spans="1:51" x14ac:dyDescent="0.2">
      <c r="A289" s="447">
        <f t="shared" si="5"/>
        <v>287</v>
      </c>
      <c r="B289" s="462">
        <v>776</v>
      </c>
      <c r="C289" s="457" t="s">
        <v>236</v>
      </c>
      <c r="D289" s="455">
        <v>0.02</v>
      </c>
      <c r="E289" s="456"/>
      <c r="F289" s="456"/>
      <c r="G289" s="452">
        <v>37987</v>
      </c>
      <c r="H289" s="453">
        <v>40666</v>
      </c>
      <c r="I289" s="455">
        <v>1.7000000000000001E-2</v>
      </c>
      <c r="J289" s="456"/>
      <c r="K289" s="456"/>
      <c r="L289" s="452">
        <v>40667</v>
      </c>
      <c r="M289" s="453">
        <v>40757</v>
      </c>
      <c r="N289" s="455">
        <v>0.02</v>
      </c>
      <c r="O289" s="456"/>
      <c r="P289" s="456"/>
      <c r="Q289" s="452">
        <v>40758</v>
      </c>
      <c r="S289" s="455"/>
      <c r="T289" s="456"/>
      <c r="U289" s="456"/>
      <c r="X289" s="455"/>
      <c r="Y289" s="456"/>
      <c r="Z289" s="456"/>
      <c r="AC289" s="455"/>
      <c r="AD289" s="456"/>
      <c r="AE289" s="456"/>
      <c r="AH289" s="455"/>
      <c r="AI289" s="456"/>
      <c r="AJ289" s="456"/>
      <c r="AM289" s="455"/>
      <c r="AN289" s="456"/>
      <c r="AO289" s="456"/>
      <c r="AR289" s="455"/>
      <c r="AS289" s="456"/>
      <c r="AT289" s="456"/>
      <c r="AW289" s="455"/>
      <c r="AX289" s="456"/>
      <c r="AY289" s="456"/>
    </row>
    <row r="290" spans="1:51" x14ac:dyDescent="0.2">
      <c r="A290" s="461">
        <f t="shared" si="5"/>
        <v>288</v>
      </c>
      <c r="B290" s="462">
        <v>876</v>
      </c>
      <c r="C290" s="457" t="s">
        <v>1620</v>
      </c>
      <c r="D290" s="455">
        <v>0</v>
      </c>
      <c r="E290" s="456"/>
      <c r="F290" s="456"/>
      <c r="G290" s="452">
        <v>37987</v>
      </c>
      <c r="H290" s="453">
        <v>43100</v>
      </c>
      <c r="I290" s="455">
        <v>0.01</v>
      </c>
      <c r="J290" s="456"/>
      <c r="K290" s="456"/>
      <c r="L290" s="452">
        <v>43101</v>
      </c>
      <c r="N290" s="455"/>
      <c r="O290" s="456"/>
      <c r="P290" s="456"/>
      <c r="S290" s="455"/>
      <c r="T290" s="456"/>
      <c r="U290" s="456"/>
      <c r="X290" s="455"/>
      <c r="Y290" s="456"/>
      <c r="Z290" s="456"/>
      <c r="AC290" s="455"/>
      <c r="AD290" s="456"/>
      <c r="AE290" s="456"/>
      <c r="AH290" s="455"/>
      <c r="AI290" s="456"/>
      <c r="AJ290" s="456"/>
      <c r="AM290" s="455"/>
      <c r="AN290" s="456"/>
      <c r="AO290" s="456"/>
      <c r="AR290" s="455"/>
      <c r="AS290" s="456"/>
      <c r="AT290" s="456"/>
      <c r="AW290" s="455"/>
      <c r="AX290" s="456"/>
      <c r="AY290" s="456"/>
    </row>
    <row r="291" spans="1:51" x14ac:dyDescent="0.2">
      <c r="A291" s="447">
        <f t="shared" si="5"/>
        <v>289</v>
      </c>
      <c r="B291" s="462">
        <v>764</v>
      </c>
      <c r="C291" s="458" t="s">
        <v>1287</v>
      </c>
      <c r="D291" s="455">
        <v>0</v>
      </c>
      <c r="E291" s="456"/>
      <c r="F291" s="456"/>
      <c r="G291" s="452">
        <v>37987</v>
      </c>
      <c r="H291" s="453">
        <v>39660</v>
      </c>
      <c r="I291" s="455">
        <v>0.01</v>
      </c>
      <c r="J291" s="456"/>
      <c r="K291" s="456"/>
      <c r="L291" s="452">
        <v>39661</v>
      </c>
      <c r="N291" s="455"/>
      <c r="O291" s="456"/>
      <c r="P291" s="456"/>
      <c r="S291" s="455"/>
      <c r="T291" s="456"/>
      <c r="U291" s="456"/>
      <c r="X291" s="455"/>
      <c r="Y291" s="456"/>
      <c r="Z291" s="456"/>
      <c r="AC291" s="455"/>
      <c r="AD291" s="456"/>
      <c r="AE291" s="456"/>
      <c r="AH291" s="455"/>
      <c r="AI291" s="456"/>
      <c r="AJ291" s="456"/>
      <c r="AM291" s="455"/>
      <c r="AN291" s="456"/>
      <c r="AO291" s="456"/>
      <c r="AR291" s="455"/>
      <c r="AS291" s="456"/>
      <c r="AT291" s="456"/>
      <c r="AW291" s="455"/>
      <c r="AX291" s="456"/>
      <c r="AY291" s="456"/>
    </row>
    <row r="292" spans="1:51" x14ac:dyDescent="0.2">
      <c r="A292" s="447">
        <f t="shared" si="5"/>
        <v>290</v>
      </c>
      <c r="B292" s="462">
        <v>775</v>
      </c>
      <c r="C292" s="457" t="s">
        <v>237</v>
      </c>
      <c r="D292" s="455">
        <v>0.01</v>
      </c>
      <c r="E292" s="456"/>
      <c r="F292" s="456"/>
      <c r="G292" s="452">
        <v>37987</v>
      </c>
      <c r="H292" s="453">
        <v>39961</v>
      </c>
      <c r="I292" s="455">
        <v>0.02</v>
      </c>
      <c r="J292" s="456"/>
      <c r="K292" s="456"/>
      <c r="L292" s="452">
        <v>39962</v>
      </c>
      <c r="N292" s="455"/>
      <c r="O292" s="456"/>
      <c r="P292" s="456"/>
      <c r="S292" s="455"/>
      <c r="T292" s="456"/>
      <c r="U292" s="456"/>
      <c r="X292" s="455"/>
      <c r="Y292" s="456"/>
      <c r="Z292" s="456"/>
      <c r="AC292" s="455"/>
      <c r="AD292" s="456"/>
      <c r="AE292" s="456"/>
      <c r="AH292" s="455"/>
      <c r="AI292" s="456"/>
      <c r="AJ292" s="456"/>
      <c r="AM292" s="455"/>
      <c r="AN292" s="456"/>
      <c r="AO292" s="456"/>
      <c r="AR292" s="455"/>
      <c r="AS292" s="456"/>
      <c r="AT292" s="456"/>
      <c r="AW292" s="455"/>
      <c r="AX292" s="456"/>
      <c r="AY292" s="456"/>
    </row>
    <row r="293" spans="1:51" x14ac:dyDescent="0.2">
      <c r="A293" s="447">
        <f t="shared" si="5"/>
        <v>291</v>
      </c>
      <c r="B293" s="462">
        <v>780</v>
      </c>
      <c r="C293" s="457" t="s">
        <v>238</v>
      </c>
      <c r="D293" s="455">
        <v>0.02</v>
      </c>
      <c r="E293" s="456"/>
      <c r="F293" s="456"/>
      <c r="G293" s="452">
        <v>37987</v>
      </c>
      <c r="I293" s="455"/>
      <c r="J293" s="456"/>
      <c r="K293" s="456"/>
      <c r="N293" s="455"/>
      <c r="O293" s="456"/>
      <c r="P293" s="456"/>
      <c r="S293" s="455"/>
      <c r="T293" s="456"/>
      <c r="U293" s="456"/>
      <c r="X293" s="455"/>
      <c r="Y293" s="456"/>
      <c r="Z293" s="456"/>
      <c r="AC293" s="455"/>
      <c r="AD293" s="456"/>
      <c r="AE293" s="456"/>
      <c r="AH293" s="455"/>
      <c r="AI293" s="456"/>
      <c r="AJ293" s="456"/>
      <c r="AM293" s="455"/>
      <c r="AN293" s="456"/>
      <c r="AO293" s="456"/>
      <c r="AR293" s="455"/>
      <c r="AS293" s="456"/>
      <c r="AT293" s="456"/>
      <c r="AW293" s="455"/>
      <c r="AX293" s="456"/>
      <c r="AY293" s="456"/>
    </row>
    <row r="294" spans="1:51" x14ac:dyDescent="0.2">
      <c r="A294" s="447">
        <f t="shared" si="5"/>
        <v>292</v>
      </c>
      <c r="B294" s="462">
        <v>742</v>
      </c>
      <c r="C294" s="457" t="s">
        <v>960</v>
      </c>
      <c r="D294" s="455">
        <v>0</v>
      </c>
      <c r="E294" s="456"/>
      <c r="F294" s="456"/>
      <c r="G294" s="452">
        <v>37987</v>
      </c>
      <c r="H294" s="453">
        <v>38352</v>
      </c>
      <c r="I294" s="455">
        <v>7.4999999999999997E-3</v>
      </c>
      <c r="J294" s="456"/>
      <c r="K294" s="456"/>
      <c r="L294" s="452">
        <v>38353</v>
      </c>
      <c r="N294" s="455"/>
      <c r="O294" s="456"/>
      <c r="P294" s="456"/>
      <c r="S294" s="455"/>
      <c r="T294" s="456"/>
      <c r="U294" s="456"/>
      <c r="X294" s="455"/>
      <c r="Y294" s="456"/>
      <c r="Z294" s="456"/>
      <c r="AC294" s="455"/>
      <c r="AD294" s="456"/>
      <c r="AE294" s="456"/>
      <c r="AH294" s="455"/>
      <c r="AI294" s="456"/>
      <c r="AJ294" s="456"/>
      <c r="AM294" s="455"/>
      <c r="AN294" s="456"/>
      <c r="AO294" s="456"/>
      <c r="AR294" s="455"/>
      <c r="AS294" s="456"/>
      <c r="AT294" s="456"/>
      <c r="AW294" s="455"/>
      <c r="AX294" s="456"/>
      <c r="AY294" s="456"/>
    </row>
    <row r="295" spans="1:51" x14ac:dyDescent="0.2">
      <c r="A295" s="447">
        <f t="shared" si="5"/>
        <v>293</v>
      </c>
      <c r="B295" s="462">
        <v>733</v>
      </c>
      <c r="C295" s="457" t="s">
        <v>1409</v>
      </c>
      <c r="D295" s="455">
        <v>1.4999999999999999E-2</v>
      </c>
      <c r="E295" s="456"/>
      <c r="F295" s="456"/>
      <c r="G295" s="452">
        <v>37987</v>
      </c>
      <c r="I295" s="455"/>
      <c r="J295" s="456"/>
      <c r="K295" s="456"/>
      <c r="N295" s="455"/>
      <c r="O295" s="456"/>
      <c r="P295" s="456"/>
      <c r="S295" s="455"/>
      <c r="T295" s="456"/>
      <c r="U295" s="456"/>
      <c r="X295" s="455"/>
      <c r="Y295" s="456"/>
      <c r="Z295" s="456"/>
      <c r="AC295" s="455"/>
      <c r="AD295" s="456"/>
      <c r="AE295" s="456"/>
      <c r="AH295" s="455"/>
      <c r="AI295" s="456"/>
      <c r="AJ295" s="456"/>
      <c r="AM295" s="455"/>
      <c r="AN295" s="456"/>
      <c r="AO295" s="456"/>
      <c r="AR295" s="455"/>
      <c r="AS295" s="456"/>
      <c r="AT295" s="456"/>
      <c r="AW295" s="455"/>
      <c r="AX295" s="456"/>
      <c r="AY295" s="456"/>
    </row>
    <row r="296" spans="1:51" x14ac:dyDescent="0.2">
      <c r="A296" s="447">
        <f t="shared" si="5"/>
        <v>294</v>
      </c>
      <c r="B296" s="462">
        <v>779</v>
      </c>
      <c r="C296" s="457" t="s">
        <v>239</v>
      </c>
      <c r="D296" s="455">
        <v>0.01</v>
      </c>
      <c r="E296" s="456"/>
      <c r="F296" s="456"/>
      <c r="G296" s="452">
        <v>37987</v>
      </c>
      <c r="I296" s="455"/>
      <c r="J296" s="456"/>
      <c r="K296" s="456"/>
      <c r="N296" s="455"/>
      <c r="O296" s="456"/>
      <c r="P296" s="456"/>
      <c r="S296" s="455"/>
      <c r="T296" s="456"/>
      <c r="U296" s="456"/>
      <c r="X296" s="455"/>
      <c r="Y296" s="456"/>
      <c r="Z296" s="456"/>
      <c r="AC296" s="455"/>
      <c r="AD296" s="456"/>
      <c r="AE296" s="456"/>
      <c r="AH296" s="455"/>
      <c r="AI296" s="456"/>
      <c r="AJ296" s="456"/>
      <c r="AM296" s="455"/>
      <c r="AN296" s="456"/>
      <c r="AO296" s="456"/>
      <c r="AR296" s="455"/>
      <c r="AS296" s="456"/>
      <c r="AT296" s="456"/>
      <c r="AW296" s="455"/>
      <c r="AX296" s="456"/>
      <c r="AY296" s="456"/>
    </row>
    <row r="297" spans="1:51" x14ac:dyDescent="0.2">
      <c r="A297" s="447">
        <f t="shared" si="5"/>
        <v>295</v>
      </c>
      <c r="B297" s="462">
        <v>784</v>
      </c>
      <c r="C297" s="457" t="s">
        <v>50</v>
      </c>
      <c r="D297" s="455">
        <v>1.2500000000000001E-2</v>
      </c>
      <c r="E297" s="456"/>
      <c r="F297" s="456"/>
      <c r="G297" s="452">
        <v>37987</v>
      </c>
      <c r="H297" s="453">
        <v>43100</v>
      </c>
      <c r="I297" s="455">
        <v>1.4999999999999999E-2</v>
      </c>
      <c r="J297" s="456"/>
      <c r="K297" s="456"/>
      <c r="L297" s="452">
        <v>43101</v>
      </c>
      <c r="N297" s="455"/>
      <c r="O297" s="456"/>
      <c r="P297" s="456"/>
      <c r="S297" s="455"/>
      <c r="T297" s="456"/>
      <c r="U297" s="456"/>
      <c r="X297" s="455"/>
      <c r="Y297" s="456"/>
      <c r="Z297" s="456"/>
      <c r="AC297" s="455"/>
      <c r="AD297" s="456"/>
      <c r="AE297" s="456"/>
      <c r="AH297" s="455"/>
      <c r="AI297" s="456"/>
      <c r="AJ297" s="456"/>
      <c r="AM297" s="455"/>
      <c r="AN297" s="456"/>
      <c r="AO297" s="456"/>
      <c r="AR297" s="455"/>
      <c r="AS297" s="456"/>
      <c r="AT297" s="456"/>
      <c r="AW297" s="455"/>
      <c r="AX297" s="456"/>
      <c r="AY297" s="456"/>
    </row>
    <row r="298" spans="1:51" x14ac:dyDescent="0.2">
      <c r="A298" s="447">
        <f t="shared" si="5"/>
        <v>296</v>
      </c>
      <c r="B298" s="462">
        <v>785</v>
      </c>
      <c r="C298" s="458" t="s">
        <v>505</v>
      </c>
      <c r="D298" s="455">
        <v>0.01</v>
      </c>
      <c r="E298" s="456"/>
      <c r="F298" s="456"/>
      <c r="G298" s="452">
        <v>37987</v>
      </c>
      <c r="I298" s="455"/>
      <c r="J298" s="456"/>
      <c r="K298" s="456"/>
      <c r="N298" s="455"/>
      <c r="O298" s="456"/>
      <c r="P298" s="456"/>
      <c r="S298" s="455"/>
      <c r="T298" s="456"/>
      <c r="U298" s="456"/>
      <c r="X298" s="455"/>
      <c r="Y298" s="456"/>
      <c r="Z298" s="456"/>
      <c r="AC298" s="455"/>
      <c r="AD298" s="456"/>
      <c r="AE298" s="456"/>
      <c r="AH298" s="455"/>
      <c r="AI298" s="456"/>
      <c r="AJ298" s="456"/>
      <c r="AM298" s="455"/>
      <c r="AN298" s="456"/>
      <c r="AO298" s="456"/>
      <c r="AR298" s="455"/>
      <c r="AS298" s="456"/>
      <c r="AT298" s="456"/>
      <c r="AW298" s="455"/>
      <c r="AX298" s="456"/>
      <c r="AY298" s="456"/>
    </row>
    <row r="299" spans="1:51" x14ac:dyDescent="0.2">
      <c r="A299" s="447">
        <f t="shared" si="5"/>
        <v>297</v>
      </c>
      <c r="B299" s="462">
        <v>783</v>
      </c>
      <c r="C299" s="457" t="s">
        <v>1176</v>
      </c>
      <c r="D299" s="455">
        <v>0.02</v>
      </c>
      <c r="E299" s="456"/>
      <c r="F299" s="456"/>
      <c r="G299" s="452">
        <v>37987</v>
      </c>
      <c r="I299" s="455"/>
      <c r="J299" s="456"/>
      <c r="K299" s="456"/>
      <c r="N299" s="455"/>
      <c r="O299" s="456"/>
      <c r="P299" s="456"/>
      <c r="S299" s="455"/>
      <c r="T299" s="456"/>
      <c r="U299" s="456"/>
      <c r="X299" s="455"/>
      <c r="Y299" s="456"/>
      <c r="Z299" s="456"/>
      <c r="AC299" s="455"/>
      <c r="AD299" s="456"/>
      <c r="AE299" s="456"/>
      <c r="AH299" s="455"/>
      <c r="AI299" s="456"/>
      <c r="AJ299" s="456"/>
      <c r="AM299" s="455"/>
      <c r="AN299" s="456"/>
      <c r="AO299" s="456"/>
      <c r="AR299" s="455"/>
      <c r="AS299" s="456"/>
      <c r="AT299" s="456"/>
      <c r="AW299" s="455"/>
      <c r="AX299" s="456"/>
      <c r="AY299" s="456"/>
    </row>
    <row r="300" spans="1:51" x14ac:dyDescent="0.2">
      <c r="A300" s="447">
        <f>+A299+1</f>
        <v>298</v>
      </c>
      <c r="B300" s="462">
        <v>728</v>
      </c>
      <c r="C300" s="457" t="s">
        <v>1376</v>
      </c>
      <c r="D300" s="455">
        <v>0</v>
      </c>
      <c r="E300" s="456"/>
      <c r="F300" s="456"/>
      <c r="G300" s="452">
        <v>37987</v>
      </c>
      <c r="H300" s="453">
        <v>40390</v>
      </c>
      <c r="I300" s="455">
        <v>0.01</v>
      </c>
      <c r="J300" s="456"/>
      <c r="K300" s="456"/>
      <c r="L300" s="452">
        <v>40391</v>
      </c>
      <c r="N300" s="455"/>
      <c r="O300" s="456"/>
      <c r="P300" s="456"/>
      <c r="S300" s="455"/>
      <c r="T300" s="456"/>
      <c r="U300" s="456"/>
      <c r="X300" s="455"/>
      <c r="Y300" s="456"/>
      <c r="Z300" s="456"/>
      <c r="AC300" s="455"/>
      <c r="AD300" s="456"/>
      <c r="AE300" s="456"/>
      <c r="AH300" s="455"/>
      <c r="AI300" s="456"/>
      <c r="AJ300" s="456"/>
      <c r="AM300" s="455"/>
      <c r="AN300" s="456"/>
      <c r="AO300" s="456"/>
      <c r="AR300" s="455"/>
      <c r="AS300" s="456"/>
      <c r="AT300" s="456"/>
      <c r="AW300" s="455"/>
      <c r="AX300" s="456"/>
      <c r="AY300" s="456"/>
    </row>
    <row r="301" spans="1:51" x14ac:dyDescent="0.2">
      <c r="A301" s="447">
        <f>+A300+1</f>
        <v>299</v>
      </c>
      <c r="B301" s="462">
        <v>727</v>
      </c>
      <c r="C301" s="458" t="s">
        <v>506</v>
      </c>
      <c r="D301" s="455">
        <v>0</v>
      </c>
      <c r="E301" s="456"/>
      <c r="F301" s="456"/>
      <c r="G301" s="452">
        <v>37987</v>
      </c>
      <c r="H301" s="453">
        <v>41455</v>
      </c>
      <c r="I301" s="455">
        <v>0.01</v>
      </c>
      <c r="J301" s="456"/>
      <c r="K301" s="456"/>
      <c r="L301" s="452">
        <v>41456</v>
      </c>
      <c r="N301" s="455"/>
      <c r="O301" s="456"/>
      <c r="P301" s="456"/>
      <c r="S301" s="455"/>
      <c r="T301" s="456"/>
      <c r="U301" s="456"/>
      <c r="X301" s="455"/>
      <c r="Y301" s="456"/>
      <c r="Z301" s="456"/>
      <c r="AC301" s="455"/>
      <c r="AD301" s="456"/>
      <c r="AE301" s="456"/>
      <c r="AH301" s="455"/>
      <c r="AI301" s="456"/>
      <c r="AJ301" s="456"/>
      <c r="AM301" s="455"/>
      <c r="AN301" s="456"/>
      <c r="AO301" s="456"/>
      <c r="AR301" s="455"/>
      <c r="AS301" s="456"/>
      <c r="AT301" s="456"/>
      <c r="AW301" s="455"/>
      <c r="AX301" s="456"/>
      <c r="AY301" s="456"/>
    </row>
    <row r="302" spans="1:51" x14ac:dyDescent="0.2">
      <c r="A302" s="447">
        <f>+A301+1</f>
        <v>300</v>
      </c>
      <c r="B302" s="462">
        <v>794</v>
      </c>
      <c r="C302" s="457" t="s">
        <v>240</v>
      </c>
      <c r="D302" s="455">
        <v>0.01</v>
      </c>
      <c r="E302" s="456"/>
      <c r="F302" s="456"/>
      <c r="G302" s="452">
        <v>37987</v>
      </c>
      <c r="I302" s="455"/>
      <c r="J302" s="456"/>
      <c r="K302" s="456"/>
      <c r="N302" s="455"/>
      <c r="O302" s="456"/>
      <c r="P302" s="456"/>
      <c r="S302" s="455"/>
      <c r="T302" s="456"/>
      <c r="U302" s="456"/>
      <c r="X302" s="455"/>
      <c r="Y302" s="456"/>
      <c r="Z302" s="456"/>
      <c r="AC302" s="455"/>
      <c r="AD302" s="456"/>
      <c r="AE302" s="456"/>
      <c r="AH302" s="455"/>
      <c r="AI302" s="456"/>
      <c r="AJ302" s="456"/>
      <c r="AM302" s="455"/>
      <c r="AN302" s="456"/>
      <c r="AO302" s="456"/>
      <c r="AR302" s="455"/>
      <c r="AS302" s="456"/>
      <c r="AT302" s="456"/>
      <c r="AW302" s="455"/>
      <c r="AX302" s="456"/>
      <c r="AY302" s="456"/>
    </row>
    <row r="303" spans="1:51" x14ac:dyDescent="0.2">
      <c r="A303" s="447">
        <f t="shared" si="5"/>
        <v>301</v>
      </c>
      <c r="B303" s="462">
        <v>792</v>
      </c>
      <c r="C303" s="457" t="s">
        <v>241</v>
      </c>
      <c r="D303" s="459">
        <v>1.4999999999999999E-2</v>
      </c>
      <c r="E303" s="460"/>
      <c r="F303" s="460"/>
      <c r="G303" s="452">
        <v>37987</v>
      </c>
      <c r="H303" s="453">
        <v>38717</v>
      </c>
      <c r="I303" s="455">
        <v>0.02</v>
      </c>
      <c r="J303" s="456"/>
      <c r="K303" s="456"/>
      <c r="L303" s="452">
        <v>38718</v>
      </c>
      <c r="N303" s="455"/>
      <c r="O303" s="456"/>
      <c r="P303" s="456"/>
      <c r="S303" s="455"/>
      <c r="T303" s="456"/>
      <c r="U303" s="456"/>
      <c r="X303" s="455"/>
      <c r="Y303" s="456"/>
      <c r="Z303" s="456"/>
      <c r="AC303" s="455"/>
      <c r="AD303" s="456"/>
      <c r="AE303" s="456"/>
      <c r="AH303" s="455"/>
      <c r="AI303" s="456"/>
      <c r="AJ303" s="456"/>
      <c r="AM303" s="455"/>
      <c r="AN303" s="456"/>
      <c r="AO303" s="456"/>
      <c r="AR303" s="455"/>
      <c r="AS303" s="456"/>
      <c r="AT303" s="456"/>
      <c r="AW303" s="455"/>
      <c r="AX303" s="456"/>
      <c r="AY303" s="456"/>
    </row>
    <row r="304" spans="1:51" x14ac:dyDescent="0.2">
      <c r="A304" s="447">
        <f t="shared" si="5"/>
        <v>302</v>
      </c>
      <c r="B304" s="462">
        <v>801</v>
      </c>
      <c r="C304" s="457" t="s">
        <v>49</v>
      </c>
      <c r="D304" s="459">
        <v>0</v>
      </c>
      <c r="E304" s="460"/>
      <c r="F304" s="460"/>
      <c r="G304" s="452">
        <v>37987</v>
      </c>
      <c r="H304" s="453">
        <v>39813</v>
      </c>
      <c r="I304" s="455">
        <v>5.0000000000000001E-3</v>
      </c>
      <c r="J304" s="456"/>
      <c r="K304" s="456"/>
      <c r="L304" s="452">
        <v>39814</v>
      </c>
      <c r="M304" s="453">
        <v>40178</v>
      </c>
      <c r="N304" s="455">
        <v>0.01</v>
      </c>
      <c r="O304" s="456"/>
      <c r="P304" s="456"/>
      <c r="Q304" s="452">
        <v>40179</v>
      </c>
      <c r="S304" s="455"/>
      <c r="T304" s="456"/>
      <c r="U304" s="456"/>
      <c r="X304" s="455"/>
      <c r="Y304" s="456"/>
      <c r="Z304" s="456"/>
      <c r="AC304" s="455"/>
      <c r="AD304" s="456"/>
      <c r="AE304" s="456"/>
      <c r="AH304" s="455"/>
      <c r="AI304" s="456"/>
      <c r="AJ304" s="456"/>
      <c r="AM304" s="455"/>
      <c r="AN304" s="456"/>
      <c r="AO304" s="456"/>
      <c r="AR304" s="455"/>
      <c r="AS304" s="456"/>
      <c r="AT304" s="456"/>
      <c r="AW304" s="455"/>
      <c r="AX304" s="456"/>
      <c r="AY304" s="456"/>
    </row>
    <row r="305" spans="1:53" x14ac:dyDescent="0.2">
      <c r="A305" s="447">
        <f t="shared" si="5"/>
        <v>303</v>
      </c>
      <c r="B305" s="462">
        <v>855</v>
      </c>
      <c r="C305" s="458" t="s">
        <v>1495</v>
      </c>
      <c r="D305" s="459">
        <v>0</v>
      </c>
      <c r="E305" s="460"/>
      <c r="F305" s="460"/>
      <c r="G305" s="452">
        <v>37987</v>
      </c>
      <c r="H305" s="453">
        <v>42185</v>
      </c>
      <c r="I305" s="455">
        <v>0.01</v>
      </c>
      <c r="J305" s="456"/>
      <c r="K305" s="456"/>
      <c r="L305" s="452">
        <v>42186</v>
      </c>
      <c r="N305" s="455"/>
      <c r="O305" s="456"/>
      <c r="P305" s="456"/>
      <c r="S305" s="455"/>
      <c r="T305" s="456"/>
      <c r="U305" s="456"/>
      <c r="X305" s="455"/>
      <c r="Y305" s="456"/>
      <c r="Z305" s="456"/>
      <c r="AC305" s="455"/>
      <c r="AD305" s="456"/>
      <c r="AE305" s="456"/>
      <c r="AH305" s="455"/>
      <c r="AI305" s="456"/>
      <c r="AJ305" s="456"/>
      <c r="AM305" s="455"/>
      <c r="AN305" s="456"/>
      <c r="AO305" s="456"/>
      <c r="AR305" s="455"/>
      <c r="AS305" s="456"/>
      <c r="AT305" s="456"/>
      <c r="AW305" s="455"/>
      <c r="AX305" s="456"/>
      <c r="AY305" s="456"/>
    </row>
    <row r="306" spans="1:53" x14ac:dyDescent="0.2">
      <c r="A306" s="447">
        <f t="shared" si="5"/>
        <v>304</v>
      </c>
      <c r="B306" s="462">
        <v>790</v>
      </c>
      <c r="C306" s="458" t="s">
        <v>242</v>
      </c>
      <c r="D306" s="459">
        <v>0.02</v>
      </c>
      <c r="E306" s="460"/>
      <c r="F306" s="460"/>
      <c r="G306" s="452">
        <v>37987</v>
      </c>
      <c r="H306" s="453">
        <v>40178</v>
      </c>
      <c r="I306" s="455">
        <v>2.2499999999999999E-2</v>
      </c>
      <c r="J306" s="456"/>
      <c r="K306" s="456"/>
      <c r="L306" s="452">
        <v>40179</v>
      </c>
      <c r="M306" s="453">
        <v>41639</v>
      </c>
      <c r="N306" s="455">
        <v>0.02</v>
      </c>
      <c r="O306" s="456"/>
      <c r="P306" s="456"/>
      <c r="Q306" s="452">
        <v>41640</v>
      </c>
      <c r="S306" s="455"/>
      <c r="T306" s="456"/>
      <c r="U306" s="456"/>
      <c r="X306" s="455"/>
      <c r="Y306" s="456"/>
      <c r="Z306" s="456"/>
      <c r="AC306" s="455"/>
      <c r="AD306" s="456"/>
      <c r="AE306" s="456"/>
      <c r="AH306" s="455"/>
      <c r="AI306" s="456"/>
      <c r="AJ306" s="456"/>
      <c r="AM306" s="455"/>
      <c r="AN306" s="456"/>
      <c r="AO306" s="456"/>
      <c r="AR306" s="455"/>
      <c r="AS306" s="456"/>
      <c r="AT306" s="456"/>
      <c r="AW306" s="455"/>
      <c r="AX306" s="456"/>
      <c r="AY306" s="456"/>
    </row>
    <row r="307" spans="1:53" x14ac:dyDescent="0.2">
      <c r="A307" s="461">
        <f t="shared" si="5"/>
        <v>305</v>
      </c>
      <c r="B307" s="462">
        <v>797</v>
      </c>
      <c r="C307" s="458" t="s">
        <v>243</v>
      </c>
      <c r="D307" s="459">
        <v>1.7500000000000002E-2</v>
      </c>
      <c r="E307" s="460"/>
      <c r="F307" s="460"/>
      <c r="G307" s="452">
        <v>37987</v>
      </c>
      <c r="H307" s="453">
        <v>42916</v>
      </c>
      <c r="I307" s="455">
        <v>0.02</v>
      </c>
      <c r="J307" s="456"/>
      <c r="K307" s="456"/>
      <c r="L307" s="452">
        <v>42917</v>
      </c>
      <c r="N307" s="455"/>
      <c r="O307" s="456"/>
      <c r="P307" s="456"/>
      <c r="S307" s="455"/>
      <c r="T307" s="456"/>
      <c r="U307" s="456"/>
      <c r="X307" s="455"/>
      <c r="Y307" s="456"/>
      <c r="Z307" s="456"/>
      <c r="AC307" s="455"/>
      <c r="AD307" s="456"/>
      <c r="AE307" s="456"/>
      <c r="AH307" s="455"/>
      <c r="AI307" s="456"/>
      <c r="AJ307" s="456"/>
      <c r="AM307" s="455"/>
      <c r="AN307" s="456"/>
      <c r="AO307" s="456"/>
      <c r="AR307" s="455"/>
      <c r="AS307" s="456"/>
      <c r="AT307" s="456"/>
      <c r="AW307" s="455"/>
      <c r="AX307" s="456"/>
      <c r="AY307" s="456"/>
    </row>
    <row r="308" spans="1:53" x14ac:dyDescent="0.2">
      <c r="A308" s="461">
        <f t="shared" si="5"/>
        <v>306</v>
      </c>
      <c r="B308" s="462">
        <v>800</v>
      </c>
      <c r="C308" s="457" t="s">
        <v>244</v>
      </c>
      <c r="D308" s="459">
        <v>1.4999999999999999E-2</v>
      </c>
      <c r="E308" s="460"/>
      <c r="F308" s="460"/>
      <c r="G308" s="452">
        <v>37987</v>
      </c>
      <c r="H308" s="453">
        <v>39082</v>
      </c>
      <c r="I308" s="455">
        <v>2.5000000000000001E-2</v>
      </c>
      <c r="J308" s="456"/>
      <c r="K308" s="456"/>
      <c r="L308" s="452">
        <v>39083</v>
      </c>
      <c r="N308" s="455"/>
      <c r="O308" s="456"/>
      <c r="P308" s="456"/>
      <c r="S308" s="455"/>
      <c r="T308" s="456"/>
      <c r="U308" s="456"/>
      <c r="X308" s="455"/>
      <c r="Y308" s="456"/>
      <c r="Z308" s="456"/>
      <c r="AC308" s="455"/>
      <c r="AD308" s="456"/>
      <c r="AE308" s="456"/>
      <c r="AH308" s="455"/>
      <c r="AI308" s="456"/>
      <c r="AJ308" s="456"/>
      <c r="AM308" s="455"/>
      <c r="AN308" s="456"/>
      <c r="AO308" s="456"/>
      <c r="AR308" s="455"/>
      <c r="AS308" s="456"/>
      <c r="AT308" s="456"/>
      <c r="AW308" s="455"/>
      <c r="AX308" s="456"/>
      <c r="AY308" s="456"/>
    </row>
    <row r="309" spans="1:53" x14ac:dyDescent="0.2">
      <c r="A309" s="447">
        <f t="shared" si="5"/>
        <v>307</v>
      </c>
      <c r="B309" s="462">
        <v>802</v>
      </c>
      <c r="C309" s="458" t="s">
        <v>554</v>
      </c>
      <c r="D309" s="459">
        <v>0.02</v>
      </c>
      <c r="E309" s="460"/>
      <c r="F309" s="460"/>
      <c r="G309" s="452">
        <v>37987</v>
      </c>
      <c r="H309" s="453">
        <v>42004</v>
      </c>
      <c r="I309" s="455">
        <v>2.5000000000000001E-2</v>
      </c>
      <c r="J309" s="456"/>
      <c r="K309" s="456"/>
      <c r="L309" s="452">
        <v>42005</v>
      </c>
      <c r="N309" s="455"/>
      <c r="O309" s="456"/>
      <c r="P309" s="456"/>
      <c r="S309" s="455"/>
      <c r="T309" s="456"/>
      <c r="U309" s="456"/>
      <c r="X309" s="455"/>
      <c r="Y309" s="456"/>
      <c r="Z309" s="456"/>
      <c r="AC309" s="455"/>
      <c r="AD309" s="456"/>
      <c r="AE309" s="456"/>
      <c r="AH309" s="455"/>
      <c r="AI309" s="456"/>
      <c r="AJ309" s="456"/>
      <c r="AM309" s="455"/>
      <c r="AN309" s="456"/>
      <c r="AO309" s="456"/>
      <c r="AR309" s="455"/>
      <c r="AS309" s="456"/>
      <c r="AT309" s="456"/>
      <c r="AW309" s="455"/>
      <c r="AX309" s="456"/>
      <c r="AY309" s="456"/>
    </row>
    <row r="310" spans="1:53" x14ac:dyDescent="0.2">
      <c r="A310" s="447">
        <f t="shared" si="5"/>
        <v>308</v>
      </c>
      <c r="B310" s="462">
        <v>806</v>
      </c>
      <c r="C310" s="457" t="s">
        <v>245</v>
      </c>
      <c r="D310" s="455">
        <v>0.02</v>
      </c>
      <c r="E310" s="456"/>
      <c r="F310" s="456"/>
      <c r="G310" s="452">
        <v>37987</v>
      </c>
      <c r="I310" s="455"/>
      <c r="J310" s="456"/>
      <c r="K310" s="456"/>
      <c r="N310" s="455"/>
      <c r="O310" s="456"/>
      <c r="P310" s="456"/>
      <c r="S310" s="455"/>
      <c r="T310" s="456"/>
      <c r="U310" s="456"/>
      <c r="X310" s="455"/>
      <c r="Y310" s="456"/>
      <c r="Z310" s="456"/>
      <c r="AC310" s="455"/>
      <c r="AD310" s="456"/>
      <c r="AE310" s="456"/>
      <c r="AH310" s="455"/>
      <c r="AI310" s="456"/>
      <c r="AJ310" s="456"/>
      <c r="AM310" s="455"/>
      <c r="AN310" s="456"/>
      <c r="AO310" s="456"/>
      <c r="AR310" s="455"/>
      <c r="AS310" s="456"/>
      <c r="AT310" s="456"/>
      <c r="AW310" s="455"/>
      <c r="AX310" s="456"/>
      <c r="AY310" s="456"/>
    </row>
    <row r="311" spans="1:53" x14ac:dyDescent="0.2">
      <c r="A311" s="447">
        <f t="shared" si="5"/>
        <v>309</v>
      </c>
      <c r="B311" s="462">
        <v>810</v>
      </c>
      <c r="C311" s="457" t="s">
        <v>1070</v>
      </c>
      <c r="D311" s="459">
        <v>0.02</v>
      </c>
      <c r="E311" s="460"/>
      <c r="F311" s="460"/>
      <c r="G311" s="452">
        <v>37987</v>
      </c>
      <c r="I311" s="455"/>
      <c r="J311" s="456"/>
      <c r="K311" s="456"/>
      <c r="N311" s="455"/>
      <c r="O311" s="456"/>
      <c r="P311" s="456"/>
      <c r="S311" s="455"/>
      <c r="T311" s="456"/>
      <c r="U311" s="456"/>
      <c r="X311" s="455"/>
      <c r="Y311" s="456"/>
      <c r="Z311" s="456"/>
      <c r="AC311" s="455"/>
      <c r="AD311" s="456"/>
      <c r="AE311" s="456"/>
      <c r="AH311" s="455"/>
      <c r="AI311" s="456"/>
      <c r="AJ311" s="456"/>
      <c r="AM311" s="455"/>
      <c r="AN311" s="456"/>
      <c r="AO311" s="456"/>
      <c r="AR311" s="455"/>
      <c r="AS311" s="456"/>
      <c r="AT311" s="456"/>
      <c r="AW311" s="455"/>
      <c r="AX311" s="456"/>
      <c r="AY311" s="456"/>
    </row>
    <row r="312" spans="1:53" x14ac:dyDescent="0.2">
      <c r="A312" s="447">
        <f t="shared" si="5"/>
        <v>310</v>
      </c>
      <c r="B312" s="462">
        <v>743</v>
      </c>
      <c r="C312" s="457" t="s">
        <v>1071</v>
      </c>
      <c r="D312" s="459">
        <v>0</v>
      </c>
      <c r="E312" s="460"/>
      <c r="F312" s="460"/>
      <c r="G312" s="452">
        <v>37987</v>
      </c>
      <c r="H312" s="453">
        <v>40908</v>
      </c>
      <c r="I312" s="455">
        <v>0.01</v>
      </c>
      <c r="J312" s="456"/>
      <c r="K312" s="456"/>
      <c r="L312" s="452">
        <v>40909</v>
      </c>
      <c r="M312" s="453">
        <v>43100</v>
      </c>
      <c r="N312" s="455">
        <v>0</v>
      </c>
      <c r="O312" s="456"/>
      <c r="P312" s="456"/>
      <c r="Q312" s="452">
        <v>43101</v>
      </c>
      <c r="S312" s="455"/>
      <c r="T312" s="456"/>
      <c r="U312" s="456"/>
      <c r="X312" s="455"/>
      <c r="Y312" s="456"/>
      <c r="Z312" s="456"/>
      <c r="AC312" s="455"/>
      <c r="AD312" s="456"/>
      <c r="AE312" s="456"/>
      <c r="AH312" s="455"/>
      <c r="AI312" s="456"/>
      <c r="AJ312" s="456"/>
      <c r="AM312" s="455"/>
      <c r="AN312" s="456"/>
      <c r="AO312" s="456"/>
      <c r="AR312" s="455"/>
      <c r="AS312" s="456"/>
      <c r="AT312" s="456"/>
      <c r="AW312" s="455"/>
      <c r="AX312" s="456"/>
      <c r="AY312" s="456"/>
    </row>
    <row r="313" spans="1:53" x14ac:dyDescent="0.2">
      <c r="A313" s="447">
        <f t="shared" si="5"/>
        <v>311</v>
      </c>
      <c r="B313" s="462">
        <v>815</v>
      </c>
      <c r="C313" s="458" t="s">
        <v>246</v>
      </c>
      <c r="D313" s="459">
        <v>0.01</v>
      </c>
      <c r="E313" s="460"/>
      <c r="F313" s="460"/>
      <c r="G313" s="452">
        <v>37987</v>
      </c>
      <c r="H313" s="453">
        <v>41425</v>
      </c>
      <c r="I313" s="455">
        <v>1.4999999999999999E-2</v>
      </c>
      <c r="J313" s="456"/>
      <c r="K313" s="456"/>
      <c r="L313" s="452">
        <v>41426</v>
      </c>
      <c r="N313" s="455"/>
      <c r="O313" s="456"/>
      <c r="P313" s="456"/>
      <c r="S313" s="455"/>
      <c r="T313" s="456"/>
      <c r="U313" s="456"/>
      <c r="X313" s="455"/>
      <c r="Y313" s="456"/>
      <c r="Z313" s="456"/>
      <c r="AC313" s="455"/>
      <c r="AD313" s="456"/>
      <c r="AE313" s="456"/>
      <c r="AH313" s="455"/>
      <c r="AI313" s="456"/>
      <c r="AJ313" s="456"/>
      <c r="AM313" s="455"/>
      <c r="AN313" s="456"/>
      <c r="AO313" s="456"/>
      <c r="AR313" s="455"/>
      <c r="AS313" s="456"/>
      <c r="AT313" s="456"/>
      <c r="AW313" s="455"/>
      <c r="AX313" s="456"/>
      <c r="AY313" s="456"/>
    </row>
    <row r="314" spans="1:53" x14ac:dyDescent="0.2">
      <c r="A314" s="447">
        <f t="shared" si="5"/>
        <v>312</v>
      </c>
      <c r="B314" s="462">
        <v>818</v>
      </c>
      <c r="C314" s="458" t="s">
        <v>1511</v>
      </c>
      <c r="D314" s="455">
        <v>1.2999999999999999E-2</v>
      </c>
      <c r="E314" s="456"/>
      <c r="F314" s="456"/>
      <c r="G314" s="452">
        <v>37987</v>
      </c>
      <c r="H314" s="453">
        <v>40908</v>
      </c>
      <c r="I314" s="455">
        <v>1.4E-2</v>
      </c>
      <c r="J314" s="456"/>
      <c r="K314" s="456"/>
      <c r="L314" s="452">
        <v>40909</v>
      </c>
      <c r="N314" s="455"/>
      <c r="O314" s="456"/>
      <c r="P314" s="456"/>
      <c r="S314" s="455"/>
      <c r="T314" s="456"/>
      <c r="U314" s="456"/>
      <c r="X314" s="455"/>
      <c r="Y314" s="456"/>
      <c r="Z314" s="456"/>
      <c r="AC314" s="455"/>
      <c r="AD314" s="456"/>
      <c r="AE314" s="456"/>
      <c r="AH314" s="455"/>
      <c r="AI314" s="456"/>
      <c r="AJ314" s="456"/>
      <c r="AM314" s="455"/>
      <c r="AN314" s="456"/>
      <c r="AO314" s="456"/>
      <c r="AR314" s="455"/>
      <c r="AS314" s="456"/>
      <c r="AT314" s="456"/>
      <c r="AW314" s="455"/>
      <c r="AX314" s="456"/>
      <c r="AY314" s="456"/>
    </row>
    <row r="315" spans="1:53" x14ac:dyDescent="0.2">
      <c r="A315" s="447">
        <f t="shared" si="5"/>
        <v>313</v>
      </c>
      <c r="B315" s="462">
        <v>821</v>
      </c>
      <c r="C315" s="457" t="s">
        <v>247</v>
      </c>
      <c r="D315" s="455">
        <v>0.01</v>
      </c>
      <c r="E315" s="456"/>
      <c r="F315" s="456"/>
      <c r="G315" s="452">
        <v>37987</v>
      </c>
      <c r="I315" s="455"/>
      <c r="J315" s="456"/>
      <c r="K315" s="456"/>
      <c r="N315" s="455"/>
      <c r="O315" s="456"/>
      <c r="P315" s="456"/>
      <c r="S315" s="455"/>
      <c r="T315" s="456"/>
      <c r="U315" s="456"/>
      <c r="X315" s="455"/>
      <c r="Y315" s="456"/>
      <c r="Z315" s="456"/>
      <c r="AC315" s="455"/>
      <c r="AD315" s="456"/>
      <c r="AE315" s="456"/>
      <c r="AH315" s="455"/>
      <c r="AI315" s="456"/>
      <c r="AJ315" s="456"/>
      <c r="AM315" s="455"/>
      <c r="AN315" s="456"/>
      <c r="AO315" s="456"/>
      <c r="AR315" s="455"/>
      <c r="AS315" s="456"/>
      <c r="AT315" s="456"/>
      <c r="AW315" s="455"/>
      <c r="AX315" s="456"/>
      <c r="AY315" s="456"/>
    </row>
    <row r="316" spans="1:53" x14ac:dyDescent="0.2">
      <c r="A316" s="461">
        <f t="shared" si="5"/>
        <v>314</v>
      </c>
      <c r="B316" s="462">
        <v>909</v>
      </c>
      <c r="C316" s="458" t="s">
        <v>1621</v>
      </c>
      <c r="D316" s="455">
        <v>0</v>
      </c>
      <c r="E316" s="456"/>
      <c r="F316" s="456"/>
      <c r="G316" s="452">
        <v>37987</v>
      </c>
      <c r="H316" s="453">
        <v>43100</v>
      </c>
      <c r="I316" s="455">
        <v>5.0000000000000001E-3</v>
      </c>
      <c r="J316" s="456"/>
      <c r="K316" s="456"/>
      <c r="L316" s="452">
        <v>43101</v>
      </c>
      <c r="N316" s="455"/>
      <c r="O316" s="456"/>
      <c r="P316" s="456"/>
      <c r="S316" s="455"/>
      <c r="T316" s="456"/>
      <c r="U316" s="456"/>
      <c r="X316" s="455"/>
      <c r="Y316" s="456"/>
      <c r="Z316" s="456"/>
      <c r="AC316" s="455"/>
      <c r="AD316" s="456"/>
      <c r="AE316" s="456"/>
      <c r="AH316" s="455"/>
      <c r="AI316" s="456"/>
      <c r="AJ316" s="456"/>
      <c r="AM316" s="455"/>
      <c r="AN316" s="456"/>
      <c r="AO316" s="456"/>
      <c r="AR316" s="455"/>
      <c r="AS316" s="456"/>
      <c r="AT316" s="456"/>
      <c r="AW316" s="455"/>
      <c r="AX316" s="456"/>
      <c r="AY316" s="456"/>
    </row>
    <row r="317" spans="1:53" x14ac:dyDescent="0.2">
      <c r="A317" s="447">
        <f t="shared" si="5"/>
        <v>315</v>
      </c>
      <c r="B317" s="462">
        <v>808</v>
      </c>
      <c r="C317" s="458" t="s">
        <v>1410</v>
      </c>
      <c r="D317" s="455">
        <v>0</v>
      </c>
      <c r="E317" s="456"/>
      <c r="F317" s="456"/>
      <c r="G317" s="452">
        <v>37987</v>
      </c>
      <c r="H317" s="453">
        <v>38352</v>
      </c>
      <c r="I317" s="455">
        <v>0.02</v>
      </c>
      <c r="J317" s="456"/>
      <c r="K317" s="456"/>
      <c r="L317" s="452">
        <v>38353</v>
      </c>
      <c r="N317" s="455"/>
      <c r="O317" s="456"/>
      <c r="P317" s="456"/>
      <c r="S317" s="455"/>
      <c r="T317" s="456"/>
      <c r="U317" s="456"/>
      <c r="X317" s="455"/>
      <c r="Y317" s="456"/>
      <c r="Z317" s="456"/>
      <c r="AC317" s="455"/>
      <c r="AD317" s="456"/>
      <c r="AE317" s="456"/>
      <c r="AH317" s="455"/>
      <c r="AI317" s="456"/>
      <c r="AJ317" s="456"/>
      <c r="AM317" s="455"/>
      <c r="AN317" s="456"/>
      <c r="AO317" s="456"/>
      <c r="AR317" s="455"/>
      <c r="AS317" s="456"/>
      <c r="AT317" s="456"/>
      <c r="AW317" s="455"/>
      <c r="AX317" s="456"/>
      <c r="AY317" s="456"/>
    </row>
    <row r="318" spans="1:53" s="763" customFormat="1" x14ac:dyDescent="0.2">
      <c r="A318" s="756">
        <f t="shared" si="5"/>
        <v>316</v>
      </c>
      <c r="B318" s="777">
        <v>916</v>
      </c>
      <c r="C318" s="778" t="s">
        <v>1775</v>
      </c>
      <c r="D318" s="759">
        <v>0</v>
      </c>
      <c r="E318" s="760"/>
      <c r="F318" s="760"/>
      <c r="G318" s="761">
        <v>37987</v>
      </c>
      <c r="H318" s="762">
        <v>43465</v>
      </c>
      <c r="I318" s="759">
        <v>0.01</v>
      </c>
      <c r="J318" s="760"/>
      <c r="K318" s="760"/>
      <c r="L318" s="761">
        <v>43466</v>
      </c>
      <c r="M318" s="762"/>
      <c r="N318" s="759"/>
      <c r="O318" s="760"/>
      <c r="P318" s="760"/>
      <c r="Q318" s="761"/>
      <c r="R318" s="762"/>
      <c r="S318" s="759"/>
      <c r="T318" s="760"/>
      <c r="U318" s="760"/>
      <c r="V318" s="761"/>
      <c r="W318" s="762"/>
      <c r="X318" s="759"/>
      <c r="Y318" s="760"/>
      <c r="Z318" s="760"/>
      <c r="AA318" s="761"/>
      <c r="AB318" s="762"/>
      <c r="AC318" s="759"/>
      <c r="AD318" s="760"/>
      <c r="AE318" s="760"/>
      <c r="AF318" s="761"/>
      <c r="AG318" s="762"/>
      <c r="AH318" s="759"/>
      <c r="AI318" s="760"/>
      <c r="AJ318" s="760"/>
      <c r="AK318" s="761"/>
      <c r="AL318" s="762"/>
      <c r="AM318" s="759"/>
      <c r="AN318" s="760"/>
      <c r="AO318" s="760"/>
      <c r="AP318" s="761"/>
      <c r="AQ318" s="762"/>
      <c r="AR318" s="759"/>
      <c r="AS318" s="760"/>
      <c r="AT318" s="760"/>
      <c r="AU318" s="761"/>
      <c r="AV318" s="762"/>
      <c r="AW318" s="759"/>
      <c r="AX318" s="760"/>
      <c r="AY318" s="760"/>
      <c r="AZ318" s="761"/>
      <c r="BA318" s="762"/>
    </row>
    <row r="319" spans="1:53" x14ac:dyDescent="0.2">
      <c r="A319" s="447">
        <f t="shared" si="5"/>
        <v>317</v>
      </c>
      <c r="B319" s="462">
        <v>821</v>
      </c>
      <c r="C319" s="457" t="s">
        <v>1377</v>
      </c>
      <c r="D319" s="455">
        <v>0</v>
      </c>
      <c r="E319" s="456"/>
      <c r="F319" s="456"/>
      <c r="G319" s="452">
        <v>37987</v>
      </c>
      <c r="H319" s="453">
        <v>40359</v>
      </c>
      <c r="I319" s="455">
        <v>0.01</v>
      </c>
      <c r="J319" s="456"/>
      <c r="K319" s="456"/>
      <c r="L319" s="452">
        <v>40360</v>
      </c>
      <c r="M319" s="453">
        <v>42369</v>
      </c>
      <c r="N319" s="455">
        <v>5.0000000000000001E-3</v>
      </c>
      <c r="O319" s="456"/>
      <c r="P319" s="456"/>
      <c r="Q319" s="452">
        <v>42370</v>
      </c>
      <c r="S319" s="455"/>
      <c r="T319" s="456"/>
      <c r="U319" s="456"/>
      <c r="X319" s="455"/>
      <c r="Y319" s="456"/>
      <c r="Z319" s="456"/>
      <c r="AC319" s="455"/>
      <c r="AD319" s="456"/>
      <c r="AE319" s="456"/>
      <c r="AH319" s="455"/>
      <c r="AI319" s="456"/>
      <c r="AJ319" s="456"/>
      <c r="AM319" s="455"/>
      <c r="AN319" s="456"/>
      <c r="AO319" s="456"/>
      <c r="AR319" s="455"/>
      <c r="AS319" s="456"/>
      <c r="AT319" s="456"/>
      <c r="AW319" s="455"/>
      <c r="AX319" s="456"/>
      <c r="AY319" s="456"/>
    </row>
    <row r="320" spans="1:53" x14ac:dyDescent="0.2">
      <c r="A320" s="447">
        <f t="shared" si="5"/>
        <v>318</v>
      </c>
      <c r="B320" s="462">
        <v>833</v>
      </c>
      <c r="C320" s="458" t="s">
        <v>1411</v>
      </c>
      <c r="D320" s="459">
        <v>0.01</v>
      </c>
      <c r="E320" s="460"/>
      <c r="F320" s="460"/>
      <c r="G320" s="452">
        <v>37987</v>
      </c>
      <c r="I320" s="455"/>
      <c r="J320" s="456"/>
      <c r="K320" s="456"/>
      <c r="N320" s="455"/>
      <c r="O320" s="456"/>
      <c r="P320" s="456"/>
      <c r="S320" s="455"/>
      <c r="T320" s="456"/>
      <c r="U320" s="456"/>
      <c r="X320" s="455"/>
      <c r="Y320" s="456"/>
      <c r="Z320" s="456"/>
      <c r="AC320" s="455"/>
      <c r="AD320" s="456"/>
      <c r="AE320" s="456"/>
      <c r="AH320" s="455"/>
      <c r="AI320" s="456"/>
      <c r="AJ320" s="456"/>
      <c r="AM320" s="455"/>
      <c r="AN320" s="456"/>
      <c r="AO320" s="456"/>
      <c r="AR320" s="455"/>
      <c r="AS320" s="456"/>
      <c r="AT320" s="456"/>
      <c r="AW320" s="455"/>
      <c r="AX320" s="456"/>
      <c r="AY320" s="456"/>
    </row>
    <row r="321" spans="1:53" x14ac:dyDescent="0.2">
      <c r="A321" s="447">
        <f t="shared" si="5"/>
        <v>319</v>
      </c>
      <c r="B321" s="462">
        <v>834</v>
      </c>
      <c r="C321" s="457" t="s">
        <v>248</v>
      </c>
      <c r="D321" s="459">
        <v>7.4999999999999997E-3</v>
      </c>
      <c r="E321" s="460"/>
      <c r="F321" s="460"/>
      <c r="G321" s="452">
        <v>37987</v>
      </c>
      <c r="H321" s="453">
        <v>38686</v>
      </c>
      <c r="I321" s="455">
        <v>0.01</v>
      </c>
      <c r="J321" s="456"/>
      <c r="K321" s="456"/>
      <c r="L321" s="452">
        <v>38687</v>
      </c>
      <c r="N321" s="455"/>
      <c r="O321" s="456"/>
      <c r="P321" s="456"/>
      <c r="S321" s="455"/>
      <c r="T321" s="456"/>
      <c r="U321" s="456"/>
      <c r="X321" s="455"/>
      <c r="Y321" s="456"/>
      <c r="Z321" s="456"/>
      <c r="AC321" s="455"/>
      <c r="AD321" s="456"/>
      <c r="AE321" s="456"/>
      <c r="AH321" s="455"/>
      <c r="AI321" s="456"/>
      <c r="AJ321" s="456"/>
      <c r="AM321" s="455"/>
      <c r="AN321" s="456"/>
      <c r="AO321" s="456"/>
      <c r="AR321" s="455"/>
      <c r="AS321" s="456"/>
      <c r="AT321" s="456"/>
      <c r="AW321" s="455"/>
      <c r="AX321" s="456"/>
      <c r="AY321" s="456"/>
    </row>
    <row r="322" spans="1:53" x14ac:dyDescent="0.2">
      <c r="A322" s="447">
        <f t="shared" si="5"/>
        <v>320</v>
      </c>
      <c r="B322" s="462">
        <v>839</v>
      </c>
      <c r="C322" s="457" t="s">
        <v>907</v>
      </c>
      <c r="D322" s="455">
        <v>0.01</v>
      </c>
      <c r="E322" s="456"/>
      <c r="F322" s="456"/>
      <c r="G322" s="452">
        <v>37987</v>
      </c>
      <c r="H322" s="453">
        <v>43100</v>
      </c>
      <c r="I322" s="455">
        <v>1.4999999999999999E-2</v>
      </c>
      <c r="J322" s="456"/>
      <c r="K322" s="456"/>
      <c r="L322" s="452">
        <v>43101</v>
      </c>
      <c r="N322" s="455"/>
      <c r="O322" s="456"/>
      <c r="P322" s="456"/>
      <c r="S322" s="455"/>
      <c r="T322" s="456"/>
      <c r="U322" s="456"/>
      <c r="X322" s="455"/>
      <c r="Y322" s="456"/>
      <c r="Z322" s="456"/>
      <c r="AC322" s="455"/>
      <c r="AD322" s="456"/>
      <c r="AE322" s="456"/>
      <c r="AH322" s="455"/>
      <c r="AI322" s="456"/>
      <c r="AJ322" s="456"/>
      <c r="AM322" s="455"/>
      <c r="AN322" s="456"/>
      <c r="AO322" s="456"/>
      <c r="AR322" s="455"/>
      <c r="AS322" s="456"/>
      <c r="AT322" s="456"/>
      <c r="AW322" s="455"/>
      <c r="AX322" s="456"/>
      <c r="AY322" s="456"/>
    </row>
    <row r="323" spans="1:53" x14ac:dyDescent="0.2">
      <c r="A323" s="447">
        <f t="shared" si="5"/>
        <v>321</v>
      </c>
      <c r="B323" s="462">
        <v>841</v>
      </c>
      <c r="C323" s="457" t="s">
        <v>908</v>
      </c>
      <c r="D323" s="455">
        <v>0</v>
      </c>
      <c r="E323" s="456"/>
      <c r="F323" s="456"/>
      <c r="G323" s="452">
        <v>37987</v>
      </c>
      <c r="H323" s="453">
        <v>38717</v>
      </c>
      <c r="I323" s="455">
        <v>0.01</v>
      </c>
      <c r="J323" s="456"/>
      <c r="K323" s="456"/>
      <c r="L323" s="452">
        <v>38718</v>
      </c>
      <c r="N323" s="455"/>
      <c r="O323" s="456"/>
      <c r="P323" s="456"/>
      <c r="S323" s="455"/>
      <c r="T323" s="456"/>
      <c r="U323" s="456"/>
      <c r="X323" s="455"/>
      <c r="Y323" s="456"/>
      <c r="Z323" s="456"/>
      <c r="AC323" s="455"/>
      <c r="AD323" s="456"/>
      <c r="AE323" s="456"/>
      <c r="AH323" s="455"/>
      <c r="AI323" s="456"/>
      <c r="AJ323" s="456"/>
      <c r="AM323" s="455"/>
      <c r="AN323" s="456"/>
      <c r="AO323" s="456"/>
      <c r="AR323" s="455"/>
      <c r="AS323" s="456"/>
      <c r="AT323" s="456"/>
      <c r="AW323" s="455"/>
      <c r="AX323" s="456"/>
      <c r="AY323" s="456"/>
    </row>
    <row r="324" spans="1:53" x14ac:dyDescent="0.2">
      <c r="A324" s="461">
        <f t="shared" si="5"/>
        <v>322</v>
      </c>
      <c r="B324" s="462">
        <v>817</v>
      </c>
      <c r="C324" s="458" t="s">
        <v>1622</v>
      </c>
      <c r="D324" s="455">
        <v>0</v>
      </c>
      <c r="E324" s="456"/>
      <c r="F324" s="456"/>
      <c r="G324" s="452">
        <v>37987</v>
      </c>
      <c r="H324" s="453">
        <v>38352</v>
      </c>
      <c r="I324" s="455">
        <v>1.4999999999999999E-2</v>
      </c>
      <c r="J324" s="456"/>
      <c r="K324" s="456"/>
      <c r="L324" s="452">
        <v>38353</v>
      </c>
      <c r="N324" s="455"/>
      <c r="O324" s="456"/>
      <c r="P324" s="456"/>
      <c r="S324" s="455"/>
      <c r="T324" s="456"/>
      <c r="U324" s="456"/>
      <c r="X324" s="455"/>
      <c r="Y324" s="456"/>
      <c r="Z324" s="456"/>
      <c r="AC324" s="455"/>
      <c r="AD324" s="456"/>
      <c r="AE324" s="456"/>
      <c r="AH324" s="455"/>
      <c r="AI324" s="456"/>
      <c r="AJ324" s="456"/>
      <c r="AM324" s="455"/>
      <c r="AN324" s="456"/>
      <c r="AO324" s="456"/>
      <c r="AR324" s="455"/>
      <c r="AS324" s="456"/>
      <c r="AT324" s="456"/>
      <c r="AW324" s="455"/>
      <c r="AX324" s="456"/>
      <c r="AY324" s="456"/>
    </row>
    <row r="325" spans="1:53" x14ac:dyDescent="0.2">
      <c r="A325" s="447">
        <f t="shared" si="5"/>
        <v>323</v>
      </c>
      <c r="B325" s="462">
        <v>850</v>
      </c>
      <c r="C325" s="458" t="s">
        <v>931</v>
      </c>
      <c r="D325" s="455">
        <v>0</v>
      </c>
      <c r="E325" s="456"/>
      <c r="F325" s="456"/>
      <c r="G325" s="452">
        <v>37987</v>
      </c>
      <c r="H325" s="453">
        <v>41274</v>
      </c>
      <c r="I325" s="455">
        <v>0.01</v>
      </c>
      <c r="J325" s="456"/>
      <c r="K325" s="456"/>
      <c r="L325" s="452">
        <v>41275</v>
      </c>
      <c r="N325" s="455"/>
      <c r="O325" s="456"/>
      <c r="P325" s="456"/>
      <c r="S325" s="455"/>
      <c r="T325" s="456"/>
      <c r="U325" s="456"/>
      <c r="X325" s="455"/>
      <c r="Y325" s="456"/>
      <c r="Z325" s="456"/>
      <c r="AC325" s="455"/>
      <c r="AD325" s="456"/>
      <c r="AE325" s="456"/>
      <c r="AH325" s="455"/>
      <c r="AI325" s="456"/>
      <c r="AJ325" s="456"/>
      <c r="AM325" s="455"/>
      <c r="AN325" s="456"/>
      <c r="AO325" s="456"/>
      <c r="AR325" s="455"/>
      <c r="AS325" s="456"/>
      <c r="AT325" s="456"/>
      <c r="AW325" s="455"/>
      <c r="AX325" s="456"/>
      <c r="AY325" s="456"/>
    </row>
    <row r="326" spans="1:53" x14ac:dyDescent="0.2">
      <c r="A326" s="447">
        <f t="shared" si="5"/>
        <v>324</v>
      </c>
      <c r="B326" s="462">
        <v>840</v>
      </c>
      <c r="C326" s="457" t="s">
        <v>909</v>
      </c>
      <c r="D326" s="455">
        <v>1.4999999999999999E-2</v>
      </c>
      <c r="E326" s="456"/>
      <c r="F326" s="456"/>
      <c r="G326" s="452">
        <v>37987</v>
      </c>
      <c r="I326" s="455"/>
      <c r="J326" s="456"/>
      <c r="K326" s="456"/>
      <c r="N326" s="455"/>
      <c r="O326" s="456"/>
      <c r="P326" s="456"/>
      <c r="S326" s="455"/>
      <c r="T326" s="456"/>
      <c r="U326" s="456"/>
      <c r="X326" s="455"/>
      <c r="Y326" s="456"/>
      <c r="Z326" s="456"/>
      <c r="AC326" s="455"/>
      <c r="AD326" s="456"/>
      <c r="AE326" s="456"/>
      <c r="AH326" s="455"/>
      <c r="AI326" s="456"/>
      <c r="AJ326" s="456"/>
      <c r="AM326" s="455"/>
      <c r="AN326" s="456"/>
      <c r="AO326" s="456"/>
      <c r="AR326" s="455"/>
      <c r="AS326" s="456"/>
      <c r="AT326" s="456"/>
      <c r="AW326" s="455"/>
      <c r="AX326" s="456"/>
      <c r="AY326" s="456"/>
    </row>
    <row r="327" spans="1:53" x14ac:dyDescent="0.2">
      <c r="A327" s="447">
        <f t="shared" si="5"/>
        <v>325</v>
      </c>
      <c r="B327" s="462">
        <v>842</v>
      </c>
      <c r="C327" s="458" t="s">
        <v>910</v>
      </c>
      <c r="D327" s="459">
        <v>0.01</v>
      </c>
      <c r="E327" s="460"/>
      <c r="F327" s="460"/>
      <c r="G327" s="452">
        <v>37987</v>
      </c>
      <c r="I327" s="455"/>
      <c r="J327" s="456"/>
      <c r="K327" s="456"/>
      <c r="N327" s="455"/>
      <c r="O327" s="456"/>
      <c r="P327" s="456"/>
      <c r="S327" s="455"/>
      <c r="T327" s="456"/>
      <c r="U327" s="456"/>
      <c r="X327" s="455"/>
      <c r="Y327" s="456"/>
      <c r="Z327" s="456"/>
      <c r="AC327" s="455"/>
      <c r="AD327" s="456"/>
      <c r="AE327" s="456"/>
      <c r="AH327" s="455"/>
      <c r="AI327" s="456"/>
      <c r="AJ327" s="456"/>
      <c r="AM327" s="455"/>
      <c r="AN327" s="456"/>
      <c r="AO327" s="456"/>
      <c r="AR327" s="455"/>
      <c r="AS327" s="456"/>
      <c r="AT327" s="456"/>
      <c r="AW327" s="455"/>
      <c r="AX327" s="456"/>
      <c r="AY327" s="456"/>
    </row>
    <row r="328" spans="1:53" s="763" customFormat="1" x14ac:dyDescent="0.2">
      <c r="A328" s="756">
        <f t="shared" si="5"/>
        <v>326</v>
      </c>
      <c r="B328" s="777">
        <v>848</v>
      </c>
      <c r="C328" s="778" t="s">
        <v>1776</v>
      </c>
      <c r="D328" s="759">
        <v>1.4999999999999999E-2</v>
      </c>
      <c r="E328" s="760"/>
      <c r="F328" s="760"/>
      <c r="G328" s="761">
        <v>37987</v>
      </c>
      <c r="H328" s="762"/>
      <c r="I328" s="759"/>
      <c r="J328" s="760"/>
      <c r="K328" s="760"/>
      <c r="L328" s="761"/>
      <c r="M328" s="762"/>
      <c r="N328" s="759"/>
      <c r="O328" s="760"/>
      <c r="P328" s="760"/>
      <c r="Q328" s="761"/>
      <c r="R328" s="762"/>
      <c r="S328" s="759"/>
      <c r="T328" s="760"/>
      <c r="U328" s="760"/>
      <c r="V328" s="761"/>
      <c r="W328" s="762"/>
      <c r="X328" s="759"/>
      <c r="Y328" s="760"/>
      <c r="Z328" s="760"/>
      <c r="AA328" s="761"/>
      <c r="AB328" s="762"/>
      <c r="AC328" s="759"/>
      <c r="AD328" s="760"/>
      <c r="AE328" s="760"/>
      <c r="AF328" s="761"/>
      <c r="AG328" s="762"/>
      <c r="AH328" s="759"/>
      <c r="AI328" s="760"/>
      <c r="AJ328" s="760"/>
      <c r="AK328" s="761"/>
      <c r="AL328" s="762"/>
      <c r="AM328" s="759"/>
      <c r="AN328" s="760"/>
      <c r="AO328" s="760"/>
      <c r="AP328" s="761"/>
      <c r="AQ328" s="762"/>
      <c r="AR328" s="759"/>
      <c r="AS328" s="760"/>
      <c r="AT328" s="760"/>
      <c r="AU328" s="761"/>
      <c r="AV328" s="762"/>
      <c r="AW328" s="759"/>
      <c r="AX328" s="760"/>
      <c r="AY328" s="760"/>
      <c r="AZ328" s="761"/>
      <c r="BA328" s="762"/>
    </row>
    <row r="329" spans="1:53" x14ac:dyDescent="0.2">
      <c r="A329" s="447">
        <f t="shared" si="5"/>
        <v>327</v>
      </c>
      <c r="B329" s="462">
        <v>860</v>
      </c>
      <c r="C329" s="458" t="s">
        <v>1623</v>
      </c>
      <c r="D329" s="459">
        <v>0.02</v>
      </c>
      <c r="E329" s="460"/>
      <c r="F329" s="460"/>
      <c r="G329" s="452">
        <v>37987</v>
      </c>
      <c r="I329" s="455"/>
      <c r="J329" s="456"/>
      <c r="K329" s="456"/>
      <c r="N329" s="455"/>
      <c r="O329" s="456"/>
      <c r="P329" s="456"/>
      <c r="S329" s="455"/>
      <c r="T329" s="456"/>
      <c r="U329" s="456"/>
      <c r="X329" s="455"/>
      <c r="Y329" s="456"/>
      <c r="Z329" s="456"/>
      <c r="AC329" s="455"/>
      <c r="AD329" s="456"/>
      <c r="AE329" s="456"/>
      <c r="AH329" s="455"/>
      <c r="AI329" s="456"/>
      <c r="AJ329" s="456"/>
      <c r="AM329" s="455"/>
      <c r="AN329" s="456"/>
      <c r="AO329" s="456"/>
      <c r="AR329" s="455"/>
      <c r="AS329" s="456"/>
      <c r="AT329" s="456"/>
      <c r="AW329" s="455"/>
      <c r="AX329" s="456"/>
      <c r="AY329" s="456"/>
    </row>
    <row r="330" spans="1:53" x14ac:dyDescent="0.2">
      <c r="A330" s="461">
        <f t="shared" si="5"/>
        <v>328</v>
      </c>
      <c r="B330" s="462">
        <v>864</v>
      </c>
      <c r="C330" s="458" t="s">
        <v>961</v>
      </c>
      <c r="D330" s="459">
        <v>0.01</v>
      </c>
      <c r="E330" s="460"/>
      <c r="F330" s="460"/>
      <c r="G330" s="452">
        <v>37987</v>
      </c>
      <c r="I330" s="455"/>
      <c r="J330" s="456"/>
      <c r="K330" s="456"/>
      <c r="N330" s="455"/>
      <c r="O330" s="456"/>
      <c r="P330" s="456"/>
      <c r="S330" s="455"/>
      <c r="T330" s="456"/>
      <c r="U330" s="456"/>
      <c r="X330" s="455"/>
      <c r="Y330" s="456"/>
      <c r="Z330" s="456"/>
      <c r="AC330" s="455"/>
      <c r="AD330" s="456"/>
      <c r="AE330" s="456"/>
      <c r="AH330" s="455"/>
      <c r="AI330" s="456"/>
      <c r="AJ330" s="456"/>
      <c r="AM330" s="455"/>
      <c r="AN330" s="456"/>
      <c r="AO330" s="456"/>
      <c r="AR330" s="455"/>
      <c r="AS330" s="456"/>
      <c r="AT330" s="456"/>
      <c r="AW330" s="455"/>
      <c r="AX330" s="456"/>
      <c r="AY330" s="456"/>
    </row>
    <row r="331" spans="1:53" s="763" customFormat="1" x14ac:dyDescent="0.2">
      <c r="A331" s="756">
        <f t="shared" si="5"/>
        <v>329</v>
      </c>
      <c r="B331" s="777">
        <v>865</v>
      </c>
      <c r="C331" s="778" t="s">
        <v>1667</v>
      </c>
      <c r="D331" s="759">
        <v>0</v>
      </c>
      <c r="E331" s="760"/>
      <c r="F331" s="760"/>
      <c r="G331" s="761">
        <v>37987</v>
      </c>
      <c r="H331" s="762">
        <v>43281</v>
      </c>
      <c r="I331" s="759">
        <v>0.01</v>
      </c>
      <c r="J331" s="760"/>
      <c r="K331" s="760"/>
      <c r="L331" s="761">
        <v>43282</v>
      </c>
      <c r="M331" s="762"/>
      <c r="N331" s="759"/>
      <c r="O331" s="760"/>
      <c r="P331" s="760"/>
      <c r="Q331" s="761"/>
      <c r="R331" s="762"/>
      <c r="S331" s="759"/>
      <c r="T331" s="760"/>
      <c r="U331" s="760"/>
      <c r="V331" s="761"/>
      <c r="W331" s="762"/>
      <c r="X331" s="759"/>
      <c r="Y331" s="760"/>
      <c r="Z331" s="760"/>
      <c r="AA331" s="761"/>
      <c r="AB331" s="762"/>
      <c r="AC331" s="759"/>
      <c r="AD331" s="760"/>
      <c r="AE331" s="760"/>
      <c r="AF331" s="761"/>
      <c r="AG331" s="762"/>
      <c r="AH331" s="759"/>
      <c r="AI331" s="760"/>
      <c r="AJ331" s="760"/>
      <c r="AK331" s="761"/>
      <c r="AL331" s="762"/>
      <c r="AM331" s="759"/>
      <c r="AN331" s="760"/>
      <c r="AO331" s="760"/>
      <c r="AP331" s="761"/>
      <c r="AQ331" s="762"/>
      <c r="AR331" s="759"/>
      <c r="AS331" s="760"/>
      <c r="AT331" s="760"/>
      <c r="AU331" s="761"/>
      <c r="AV331" s="762"/>
      <c r="AW331" s="759"/>
      <c r="AX331" s="760"/>
      <c r="AY331" s="760"/>
      <c r="AZ331" s="761"/>
      <c r="BA331" s="762"/>
    </row>
    <row r="332" spans="1:53" x14ac:dyDescent="0.2">
      <c r="A332" s="461">
        <f t="shared" si="5"/>
        <v>330</v>
      </c>
      <c r="B332" s="462">
        <v>866</v>
      </c>
      <c r="C332" s="458" t="s">
        <v>1624</v>
      </c>
      <c r="D332" s="459">
        <v>0</v>
      </c>
      <c r="E332" s="460"/>
      <c r="F332" s="460"/>
      <c r="G332" s="452">
        <v>37987</v>
      </c>
      <c r="H332" s="453">
        <v>43100</v>
      </c>
      <c r="I332" s="455">
        <v>5.0000000000000001E-3</v>
      </c>
      <c r="J332" s="456"/>
      <c r="K332" s="456"/>
      <c r="L332" s="452">
        <v>43101</v>
      </c>
      <c r="N332" s="455"/>
      <c r="O332" s="456"/>
      <c r="P332" s="456"/>
      <c r="S332" s="455"/>
      <c r="T332" s="456"/>
      <c r="U332" s="456"/>
      <c r="X332" s="455"/>
      <c r="Y332" s="456"/>
      <c r="Z332" s="456"/>
      <c r="AC332" s="455"/>
      <c r="AD332" s="456"/>
      <c r="AE332" s="456"/>
      <c r="AH332" s="455"/>
      <c r="AI332" s="456"/>
      <c r="AJ332" s="456"/>
      <c r="AM332" s="455"/>
      <c r="AN332" s="456"/>
      <c r="AO332" s="456"/>
      <c r="AR332" s="455"/>
      <c r="AS332" s="456"/>
      <c r="AT332" s="456"/>
      <c r="AW332" s="455"/>
      <c r="AX332" s="456"/>
      <c r="AY332" s="456"/>
    </row>
    <row r="333" spans="1:53" x14ac:dyDescent="0.2">
      <c r="A333" s="447">
        <f t="shared" si="5"/>
        <v>331</v>
      </c>
      <c r="B333" s="462">
        <v>870</v>
      </c>
      <c r="C333" s="458" t="s">
        <v>489</v>
      </c>
      <c r="D333" s="459">
        <v>0.02</v>
      </c>
      <c r="E333" s="460"/>
      <c r="F333" s="460"/>
      <c r="G333" s="452">
        <v>37987</v>
      </c>
      <c r="I333" s="455"/>
      <c r="J333" s="456"/>
      <c r="K333" s="456"/>
      <c r="N333" s="455"/>
      <c r="O333" s="456"/>
      <c r="P333" s="456"/>
      <c r="S333" s="455"/>
      <c r="T333" s="456"/>
      <c r="U333" s="456"/>
      <c r="X333" s="455"/>
      <c r="Y333" s="456"/>
      <c r="Z333" s="456"/>
      <c r="AC333" s="455"/>
      <c r="AD333" s="456"/>
      <c r="AE333" s="456"/>
      <c r="AH333" s="455"/>
      <c r="AI333" s="456"/>
      <c r="AJ333" s="456"/>
      <c r="AM333" s="455"/>
      <c r="AN333" s="456"/>
      <c r="AO333" s="456"/>
      <c r="AR333" s="455"/>
      <c r="AS333" s="456"/>
      <c r="AT333" s="456"/>
      <c r="AW333" s="455"/>
      <c r="AX333" s="456"/>
      <c r="AY333" s="456"/>
    </row>
    <row r="334" spans="1:53" x14ac:dyDescent="0.2">
      <c r="A334" s="447">
        <f t="shared" si="5"/>
        <v>332</v>
      </c>
      <c r="B334" s="462">
        <v>880</v>
      </c>
      <c r="C334" s="458" t="s">
        <v>1320</v>
      </c>
      <c r="D334" s="459">
        <v>1.4999999999999999E-2</v>
      </c>
      <c r="E334" s="460"/>
      <c r="F334" s="460"/>
      <c r="G334" s="452">
        <v>37987</v>
      </c>
      <c r="H334" s="453">
        <v>40543</v>
      </c>
      <c r="I334" s="455">
        <v>0.02</v>
      </c>
      <c r="J334" s="456"/>
      <c r="K334" s="456"/>
      <c r="L334" s="452">
        <v>40544</v>
      </c>
      <c r="N334" s="455"/>
      <c r="O334" s="456"/>
      <c r="P334" s="456"/>
      <c r="S334" s="455"/>
      <c r="T334" s="456"/>
      <c r="U334" s="456"/>
      <c r="X334" s="455"/>
      <c r="Y334" s="456"/>
      <c r="Z334" s="456"/>
      <c r="AC334" s="455"/>
      <c r="AD334" s="456"/>
      <c r="AE334" s="456"/>
      <c r="AH334" s="455"/>
      <c r="AI334" s="456"/>
      <c r="AJ334" s="456"/>
      <c r="AM334" s="455"/>
      <c r="AN334" s="456"/>
      <c r="AO334" s="456"/>
      <c r="AR334" s="455"/>
      <c r="AS334" s="456"/>
      <c r="AT334" s="456"/>
      <c r="AW334" s="455"/>
      <c r="AX334" s="456"/>
      <c r="AY334" s="456"/>
    </row>
    <row r="335" spans="1:53" x14ac:dyDescent="0.2">
      <c r="A335" s="447">
        <f t="shared" si="5"/>
        <v>333</v>
      </c>
      <c r="B335" s="462">
        <v>890</v>
      </c>
      <c r="C335" s="457" t="s">
        <v>911</v>
      </c>
      <c r="D335" s="455">
        <v>0.02</v>
      </c>
      <c r="E335" s="456"/>
      <c r="F335" s="456"/>
      <c r="G335" s="452">
        <v>37987</v>
      </c>
      <c r="I335" s="455"/>
      <c r="J335" s="456"/>
      <c r="K335" s="456"/>
      <c r="N335" s="455"/>
      <c r="O335" s="456"/>
      <c r="P335" s="456"/>
      <c r="S335" s="455"/>
      <c r="T335" s="456"/>
      <c r="U335" s="456"/>
      <c r="X335" s="455"/>
      <c r="Y335" s="456"/>
      <c r="Z335" s="456"/>
      <c r="AC335" s="455"/>
      <c r="AD335" s="456"/>
      <c r="AE335" s="456"/>
      <c r="AH335" s="455"/>
      <c r="AI335" s="456"/>
      <c r="AJ335" s="456"/>
      <c r="AM335" s="455"/>
      <c r="AN335" s="456"/>
      <c r="AO335" s="456"/>
      <c r="AR335" s="455"/>
      <c r="AS335" s="456"/>
      <c r="AT335" s="456"/>
      <c r="AW335" s="455"/>
      <c r="AX335" s="456"/>
      <c r="AY335" s="456"/>
    </row>
    <row r="336" spans="1:53" x14ac:dyDescent="0.2">
      <c r="A336" s="447">
        <f t="shared" si="5"/>
        <v>334</v>
      </c>
      <c r="B336" s="462">
        <v>892</v>
      </c>
      <c r="C336" s="458" t="s">
        <v>70</v>
      </c>
      <c r="D336" s="455">
        <v>0.01</v>
      </c>
      <c r="E336" s="456"/>
      <c r="F336" s="456"/>
      <c r="G336" s="452">
        <v>37987</v>
      </c>
      <c r="I336" s="455"/>
      <c r="J336" s="456"/>
      <c r="K336" s="456"/>
      <c r="N336" s="455"/>
      <c r="O336" s="456"/>
      <c r="P336" s="456"/>
      <c r="S336" s="455"/>
      <c r="T336" s="456"/>
      <c r="U336" s="456"/>
      <c r="X336" s="455"/>
      <c r="Y336" s="456"/>
      <c r="Z336" s="456"/>
      <c r="AC336" s="455"/>
      <c r="AD336" s="456"/>
      <c r="AE336" s="456"/>
      <c r="AH336" s="455"/>
      <c r="AI336" s="456"/>
      <c r="AJ336" s="456"/>
      <c r="AM336" s="455"/>
      <c r="AN336" s="456"/>
      <c r="AO336" s="456"/>
      <c r="AR336" s="455"/>
      <c r="AS336" s="456"/>
      <c r="AT336" s="456"/>
      <c r="AW336" s="455"/>
      <c r="AX336" s="456"/>
      <c r="AY336" s="456"/>
    </row>
    <row r="337" spans="1:53" s="763" customFormat="1" x14ac:dyDescent="0.2">
      <c r="A337" s="756">
        <f t="shared" si="5"/>
        <v>335</v>
      </c>
      <c r="B337" s="777">
        <v>893</v>
      </c>
      <c r="C337" s="778" t="s">
        <v>1668</v>
      </c>
      <c r="D337" s="759">
        <v>1.4999999999999999E-2</v>
      </c>
      <c r="E337" s="760"/>
      <c r="F337" s="760"/>
      <c r="G337" s="761">
        <v>37987</v>
      </c>
      <c r="H337" s="762"/>
      <c r="I337" s="759"/>
      <c r="J337" s="760"/>
      <c r="K337" s="760"/>
      <c r="L337" s="761"/>
      <c r="M337" s="762"/>
      <c r="N337" s="759"/>
      <c r="O337" s="760"/>
      <c r="P337" s="760"/>
      <c r="Q337" s="761"/>
      <c r="R337" s="762"/>
      <c r="S337" s="759"/>
      <c r="T337" s="760"/>
      <c r="U337" s="760"/>
      <c r="V337" s="761"/>
      <c r="W337" s="762"/>
      <c r="X337" s="759"/>
      <c r="Y337" s="760"/>
      <c r="Z337" s="760"/>
      <c r="AA337" s="761"/>
      <c r="AB337" s="762"/>
      <c r="AC337" s="759"/>
      <c r="AD337" s="760"/>
      <c r="AE337" s="760"/>
      <c r="AF337" s="761"/>
      <c r="AG337" s="762"/>
      <c r="AH337" s="759"/>
      <c r="AI337" s="760"/>
      <c r="AJ337" s="760"/>
      <c r="AK337" s="761"/>
      <c r="AL337" s="762"/>
      <c r="AM337" s="759"/>
      <c r="AN337" s="760"/>
      <c r="AO337" s="760"/>
      <c r="AP337" s="761"/>
      <c r="AQ337" s="762"/>
      <c r="AR337" s="759"/>
      <c r="AS337" s="760"/>
      <c r="AT337" s="760"/>
      <c r="AU337" s="761"/>
      <c r="AV337" s="762"/>
      <c r="AW337" s="759"/>
      <c r="AX337" s="760"/>
      <c r="AY337" s="760"/>
      <c r="AZ337" s="761"/>
      <c r="BA337" s="762"/>
    </row>
    <row r="338" spans="1:53" x14ac:dyDescent="0.2">
      <c r="A338" s="447">
        <f t="shared" si="5"/>
        <v>336</v>
      </c>
      <c r="B338" s="462">
        <v>894</v>
      </c>
      <c r="C338" s="457" t="s">
        <v>1002</v>
      </c>
      <c r="D338" s="455">
        <v>0.01</v>
      </c>
      <c r="E338" s="456"/>
      <c r="F338" s="456"/>
      <c r="G338" s="452">
        <v>37987</v>
      </c>
      <c r="I338" s="455"/>
      <c r="J338" s="456"/>
      <c r="K338" s="456"/>
      <c r="N338" s="455"/>
      <c r="O338" s="456"/>
      <c r="P338" s="456"/>
      <c r="S338" s="455"/>
      <c r="T338" s="456"/>
      <c r="U338" s="456"/>
      <c r="X338" s="455"/>
      <c r="Y338" s="456"/>
      <c r="Z338" s="456"/>
      <c r="AC338" s="455"/>
      <c r="AD338" s="456"/>
      <c r="AE338" s="456"/>
      <c r="AH338" s="455"/>
      <c r="AI338" s="456"/>
      <c r="AJ338" s="456"/>
      <c r="AM338" s="455"/>
      <c r="AN338" s="456"/>
      <c r="AO338" s="456"/>
      <c r="AR338" s="455"/>
      <c r="AS338" s="456"/>
      <c r="AT338" s="456"/>
      <c r="AW338" s="455"/>
      <c r="AX338" s="456"/>
      <c r="AY338" s="456"/>
    </row>
    <row r="339" spans="1:53" x14ac:dyDescent="0.2">
      <c r="A339" s="447">
        <f t="shared" si="5"/>
        <v>337</v>
      </c>
      <c r="B339" s="462">
        <v>900</v>
      </c>
      <c r="C339" s="457" t="s">
        <v>1003</v>
      </c>
      <c r="D339" s="455">
        <v>0.02</v>
      </c>
      <c r="E339" s="456"/>
      <c r="F339" s="456"/>
      <c r="G339" s="452">
        <v>37987</v>
      </c>
      <c r="H339" s="453">
        <v>40178</v>
      </c>
      <c r="I339" s="455">
        <v>2.5000000000000001E-2</v>
      </c>
      <c r="J339" s="456"/>
      <c r="K339" s="456"/>
      <c r="L339" s="452">
        <v>40179</v>
      </c>
      <c r="N339" s="455"/>
      <c r="O339" s="456"/>
      <c r="P339" s="456"/>
      <c r="S339" s="455"/>
      <c r="T339" s="456"/>
      <c r="U339" s="456"/>
      <c r="X339" s="455"/>
      <c r="Y339" s="456"/>
      <c r="Z339" s="456"/>
      <c r="AC339" s="455"/>
      <c r="AD339" s="456"/>
      <c r="AE339" s="456"/>
      <c r="AH339" s="455"/>
      <c r="AI339" s="456"/>
      <c r="AJ339" s="456"/>
      <c r="AM339" s="455"/>
      <c r="AN339" s="456"/>
      <c r="AO339" s="456"/>
      <c r="AR339" s="455"/>
      <c r="AS339" s="456"/>
      <c r="AT339" s="456"/>
      <c r="AW339" s="455"/>
      <c r="AX339" s="456"/>
      <c r="AY339" s="456"/>
    </row>
    <row r="340" spans="1:53" x14ac:dyDescent="0.2">
      <c r="A340" s="447">
        <f t="shared" si="5"/>
        <v>338</v>
      </c>
      <c r="B340" s="462">
        <v>901</v>
      </c>
      <c r="C340" s="458" t="s">
        <v>1004</v>
      </c>
      <c r="D340" s="455">
        <v>0</v>
      </c>
      <c r="E340" s="456"/>
      <c r="F340" s="456"/>
      <c r="G340" s="452">
        <v>37987</v>
      </c>
      <c r="H340" s="453">
        <v>38898</v>
      </c>
      <c r="I340" s="455">
        <v>0.01</v>
      </c>
      <c r="J340" s="456"/>
      <c r="K340" s="456"/>
      <c r="L340" s="452">
        <v>38899</v>
      </c>
      <c r="N340" s="455"/>
      <c r="O340" s="456"/>
      <c r="P340" s="456"/>
      <c r="S340" s="455"/>
      <c r="T340" s="456"/>
      <c r="U340" s="456"/>
      <c r="X340" s="455"/>
      <c r="Y340" s="456"/>
      <c r="Z340" s="456"/>
      <c r="AC340" s="455"/>
      <c r="AD340" s="456"/>
      <c r="AE340" s="456"/>
      <c r="AH340" s="455"/>
      <c r="AI340" s="456"/>
      <c r="AJ340" s="456"/>
      <c r="AM340" s="455"/>
      <c r="AN340" s="456"/>
      <c r="AO340" s="456"/>
      <c r="AR340" s="455"/>
      <c r="AS340" s="456"/>
      <c r="AT340" s="456"/>
      <c r="AW340" s="455"/>
      <c r="AX340" s="456"/>
      <c r="AY340" s="456"/>
    </row>
    <row r="341" spans="1:53" x14ac:dyDescent="0.2">
      <c r="A341" s="447">
        <f t="shared" si="5"/>
        <v>339</v>
      </c>
      <c r="B341" s="462">
        <v>904</v>
      </c>
      <c r="C341" s="457" t="s">
        <v>1005</v>
      </c>
      <c r="D341" s="459">
        <v>0.02</v>
      </c>
      <c r="E341" s="460"/>
      <c r="F341" s="460"/>
      <c r="G341" s="452">
        <v>37987</v>
      </c>
      <c r="H341" s="453">
        <v>40359</v>
      </c>
      <c r="I341" s="455">
        <v>2.5000000000000001E-2</v>
      </c>
      <c r="J341" s="456"/>
      <c r="K341" s="456"/>
      <c r="L341" s="452">
        <v>40360</v>
      </c>
      <c r="N341" s="455"/>
      <c r="O341" s="456"/>
      <c r="P341" s="456"/>
      <c r="S341" s="455"/>
      <c r="T341" s="456"/>
      <c r="U341" s="456"/>
      <c r="X341" s="455"/>
      <c r="Y341" s="456"/>
      <c r="Z341" s="456"/>
      <c r="AC341" s="455"/>
      <c r="AD341" s="456"/>
      <c r="AE341" s="456"/>
      <c r="AH341" s="455"/>
      <c r="AI341" s="456"/>
      <c r="AJ341" s="456"/>
      <c r="AM341" s="455"/>
      <c r="AN341" s="456"/>
      <c r="AO341" s="456"/>
      <c r="AR341" s="455"/>
      <c r="AS341" s="456"/>
      <c r="AT341" s="456"/>
      <c r="AW341" s="455"/>
      <c r="AX341" s="456"/>
      <c r="AY341" s="456"/>
    </row>
    <row r="342" spans="1:53" x14ac:dyDescent="0.2">
      <c r="A342" s="447">
        <f t="shared" si="5"/>
        <v>340</v>
      </c>
      <c r="B342" s="462">
        <v>906</v>
      </c>
      <c r="C342" s="457" t="s">
        <v>1006</v>
      </c>
      <c r="D342" s="459">
        <v>1.4999999999999999E-2</v>
      </c>
      <c r="E342" s="460"/>
      <c r="F342" s="460"/>
      <c r="G342" s="452">
        <v>37987</v>
      </c>
      <c r="I342" s="455"/>
      <c r="J342" s="456"/>
      <c r="K342" s="456"/>
      <c r="N342" s="455"/>
      <c r="O342" s="456"/>
      <c r="P342" s="456"/>
      <c r="S342" s="455"/>
      <c r="T342" s="456"/>
      <c r="U342" s="456"/>
      <c r="X342" s="455"/>
      <c r="Y342" s="456"/>
      <c r="Z342" s="456"/>
      <c r="AC342" s="455"/>
      <c r="AD342" s="456"/>
      <c r="AE342" s="456"/>
      <c r="AH342" s="455"/>
      <c r="AI342" s="456"/>
      <c r="AJ342" s="456"/>
      <c r="AM342" s="455"/>
      <c r="AN342" s="456"/>
      <c r="AO342" s="456"/>
      <c r="AR342" s="455"/>
      <c r="AS342" s="456"/>
      <c r="AT342" s="456"/>
      <c r="AW342" s="455"/>
      <c r="AX342" s="456"/>
      <c r="AY342" s="456"/>
    </row>
    <row r="343" spans="1:53" x14ac:dyDescent="0.2">
      <c r="A343" s="447">
        <f t="shared" si="5"/>
        <v>341</v>
      </c>
      <c r="B343" s="462">
        <v>907</v>
      </c>
      <c r="C343" s="457" t="s">
        <v>1007</v>
      </c>
      <c r="D343" s="455">
        <v>2.75E-2</v>
      </c>
      <c r="E343" s="456"/>
      <c r="F343" s="456"/>
      <c r="G343" s="452">
        <v>37987</v>
      </c>
      <c r="I343" s="455"/>
      <c r="J343" s="456"/>
      <c r="K343" s="456"/>
      <c r="N343" s="455"/>
      <c r="O343" s="456"/>
      <c r="P343" s="456"/>
      <c r="S343" s="455"/>
      <c r="T343" s="456"/>
      <c r="U343" s="456"/>
      <c r="X343" s="455"/>
      <c r="Y343" s="456"/>
      <c r="Z343" s="456"/>
      <c r="AC343" s="455"/>
      <c r="AD343" s="456"/>
      <c r="AE343" s="456"/>
      <c r="AH343" s="455"/>
      <c r="AI343" s="456"/>
      <c r="AJ343" s="456"/>
      <c r="AM343" s="455"/>
      <c r="AN343" s="456"/>
      <c r="AO343" s="456"/>
      <c r="AR343" s="455"/>
      <c r="AS343" s="456"/>
      <c r="AT343" s="456"/>
      <c r="AW343" s="455"/>
      <c r="AX343" s="456"/>
      <c r="AY343" s="456"/>
    </row>
  </sheetData>
  <sheetProtection algorithmName="SHA-512" hashValue="4eMNLtdeIEtNrA3KtB0RUPvkqDEvzqwYNPsNzsHhk47PzcsuXdEpPCbf8jD2JtoTxhjV4VrYXaXutbiOsSCI6A==" saltValue="Z31PjcdOHvdKHqI/xt51OQ==" spinCount="100000" sheet="1" objects="1" scenarios="1"/>
  <mergeCells count="3">
    <mergeCell ref="A1:A2"/>
    <mergeCell ref="B1:B2"/>
    <mergeCell ref="C1:C2"/>
  </mergeCells>
  <phoneticPr fontId="2" type="noConversion"/>
  <pageMargins left="0.75" right="0.75" top="1" bottom="1" header="0.5" footer="0.5"/>
  <pageSetup orientation="portrait" r:id="rId1"/>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7"/>
  <dimension ref="A1:R121"/>
  <sheetViews>
    <sheetView showGridLines="0" zoomScaleNormal="100" workbookViewId="0">
      <selection activeCell="C18" sqref="C18:C56"/>
    </sheetView>
  </sheetViews>
  <sheetFormatPr defaultRowHeight="12.75" x14ac:dyDescent="0.2"/>
  <cols>
    <col min="1" max="1" width="3.7109375" customWidth="1"/>
    <col min="2" max="2" width="29.28515625" customWidth="1"/>
    <col min="3" max="3" width="2.85546875" hidden="1" customWidth="1"/>
    <col min="4" max="4" width="4.7109375" customWidth="1"/>
    <col min="5" max="6" width="16" customWidth="1"/>
    <col min="7" max="7" width="10.7109375" customWidth="1"/>
    <col min="8" max="8" width="6" customWidth="1"/>
    <col min="9" max="9" width="10.7109375" customWidth="1"/>
    <col min="10" max="10" width="6" customWidth="1"/>
    <col min="11" max="11" width="10.7109375" customWidth="1"/>
    <col min="12" max="12" width="6" customWidth="1"/>
    <col min="13" max="13" width="9.7109375" customWidth="1"/>
    <col min="14" max="14" width="0.28515625" customWidth="1"/>
    <col min="15" max="15" width="11.28515625" customWidth="1"/>
    <col min="16" max="16" width="10.7109375" customWidth="1"/>
    <col min="17" max="17" width="5.7109375" customWidth="1"/>
    <col min="18" max="18" width="10.7109375" customWidth="1"/>
    <col min="19" max="19" width="12.7109375" customWidth="1"/>
  </cols>
  <sheetData>
    <row r="1" spans="1:18" ht="26.1" customHeight="1" x14ac:dyDescent="0.4">
      <c r="A1" s="1372" t="s">
        <v>372</v>
      </c>
      <c r="B1" s="1540"/>
      <c r="C1" s="216"/>
      <c r="D1" s="1541" t="s">
        <v>364</v>
      </c>
      <c r="E1" s="1374"/>
      <c r="F1" s="1374"/>
      <c r="G1" s="1374"/>
      <c r="H1" s="1374"/>
      <c r="I1" s="1374"/>
      <c r="J1" s="1374"/>
      <c r="K1" s="1542"/>
      <c r="L1" s="1380">
        <f>IF('Complete This Page'!G11="",YEAR('Complete This Page'!H11),'Complete This Page'!G11)</f>
        <v>2018</v>
      </c>
      <c r="M1" s="1381"/>
      <c r="O1" s="171"/>
      <c r="P1" s="171"/>
      <c r="Q1" s="171"/>
      <c r="R1" s="171"/>
    </row>
    <row r="2" spans="1:18" ht="11.25" customHeight="1" x14ac:dyDescent="0.2">
      <c r="A2" s="1545" t="s">
        <v>159</v>
      </c>
      <c r="B2" s="1546"/>
      <c r="C2" s="217"/>
      <c r="D2" s="1543"/>
      <c r="E2" s="1375"/>
      <c r="F2" s="1375"/>
      <c r="G2" s="1375"/>
      <c r="H2" s="1375"/>
      <c r="I2" s="1375"/>
      <c r="J2" s="1375"/>
      <c r="K2" s="1544"/>
      <c r="L2" s="1382" t="str">
        <f>+'Complete This Page'!J1</f>
        <v>NPAC v2018.0</v>
      </c>
      <c r="M2" s="1383"/>
      <c r="O2" s="786"/>
      <c r="P2" s="171"/>
      <c r="Q2" s="171"/>
      <c r="R2" s="171"/>
    </row>
    <row r="3" spans="1:18" x14ac:dyDescent="0.2">
      <c r="A3" s="1" t="s">
        <v>467</v>
      </c>
      <c r="B3" s="61"/>
      <c r="C3" s="61"/>
      <c r="D3" s="61"/>
      <c r="E3" s="61"/>
      <c r="F3" s="61"/>
      <c r="G3" s="61"/>
      <c r="H3" s="61"/>
      <c r="I3" s="199"/>
      <c r="J3" s="334"/>
      <c r="K3" s="335" t="s">
        <v>466</v>
      </c>
      <c r="L3" s="1"/>
      <c r="M3" s="1"/>
      <c r="O3" s="171"/>
      <c r="P3" s="171"/>
      <c r="Q3" s="171"/>
      <c r="R3" s="171"/>
    </row>
    <row r="4" spans="1:18" ht="18" x14ac:dyDescent="0.25">
      <c r="A4" s="25"/>
      <c r="B4" s="1377">
        <f>'Complete This Page'!B3</f>
        <v>0</v>
      </c>
      <c r="C4" s="1377"/>
      <c r="D4" s="1377"/>
      <c r="E4" s="1377"/>
      <c r="F4" s="1377"/>
      <c r="G4" s="1377"/>
      <c r="H4" s="1377"/>
      <c r="I4" s="1377"/>
      <c r="J4" s="1378"/>
      <c r="K4" s="1350">
        <f>'Complete This Page'!G3</f>
        <v>0</v>
      </c>
      <c r="L4" s="1351"/>
      <c r="M4" s="1351"/>
      <c r="O4" s="786"/>
      <c r="P4" s="171"/>
      <c r="Q4" s="171"/>
      <c r="R4" s="171"/>
    </row>
    <row r="5" spans="1:18" s="7" customFormat="1" ht="8.25" x14ac:dyDescent="0.15">
      <c r="L5" s="8"/>
      <c r="M5" s="603"/>
      <c r="O5" s="604"/>
      <c r="P5" s="604"/>
      <c r="Q5" s="604"/>
      <c r="R5" s="604"/>
    </row>
    <row r="6" spans="1:18" x14ac:dyDescent="0.2">
      <c r="B6" s="1550" t="s">
        <v>314</v>
      </c>
      <c r="E6" s="1526" t="s">
        <v>628</v>
      </c>
      <c r="F6" s="1527"/>
      <c r="G6" s="912">
        <v>0</v>
      </c>
      <c r="H6" s="856"/>
      <c r="I6" s="1534" t="s">
        <v>631</v>
      </c>
      <c r="J6" s="1535"/>
      <c r="K6" s="597">
        <v>0</v>
      </c>
      <c r="L6" s="320"/>
      <c r="N6" s="340">
        <f>IF(G8&gt;0,1,0)</f>
        <v>0</v>
      </c>
      <c r="O6" s="171"/>
      <c r="P6" s="171"/>
      <c r="Q6" s="171"/>
      <c r="R6" s="171"/>
    </row>
    <row r="7" spans="1:18" x14ac:dyDescent="0.2">
      <c r="B7" s="1551"/>
      <c r="D7" s="329"/>
      <c r="E7" s="1528" t="s">
        <v>629</v>
      </c>
      <c r="F7" s="1529"/>
      <c r="G7" s="598">
        <v>0</v>
      </c>
      <c r="H7" s="321"/>
      <c r="I7" s="333"/>
      <c r="J7" s="321"/>
      <c r="K7" s="320"/>
      <c r="L7" s="320"/>
      <c r="N7" s="340">
        <f>IF(K6&gt;0,1,0)</f>
        <v>0</v>
      </c>
      <c r="O7" s="171"/>
      <c r="P7" s="342"/>
      <c r="Q7" s="342"/>
      <c r="R7" s="343"/>
    </row>
    <row r="8" spans="1:18" x14ac:dyDescent="0.2">
      <c r="B8" s="1551"/>
      <c r="D8" s="329"/>
      <c r="E8" s="1532" t="s">
        <v>630</v>
      </c>
      <c r="F8" s="1533"/>
      <c r="G8" s="599">
        <f>SUM(G6:G7)</f>
        <v>0</v>
      </c>
      <c r="H8" s="321"/>
      <c r="I8" s="1536" t="s">
        <v>632</v>
      </c>
      <c r="J8" s="1537"/>
      <c r="K8" s="597">
        <v>0</v>
      </c>
      <c r="N8" s="340">
        <f>IF(K8&gt;0,1,0)</f>
        <v>0</v>
      </c>
      <c r="O8" s="171"/>
      <c r="P8" s="171"/>
      <c r="Q8" s="171"/>
      <c r="R8" s="171"/>
    </row>
    <row r="9" spans="1:18" s="7" customFormat="1" ht="11.25" customHeight="1" x14ac:dyDescent="0.15">
      <c r="N9" s="605">
        <f>SUM(N6:N8)</f>
        <v>0</v>
      </c>
      <c r="O9" s="604"/>
      <c r="P9" s="604"/>
      <c r="Q9" s="604"/>
      <c r="R9" s="604"/>
    </row>
    <row r="10" spans="1:18" s="1" customFormat="1" ht="11.25" customHeight="1" x14ac:dyDescent="0.2">
      <c r="B10" s="322"/>
      <c r="D10" s="1547" t="s">
        <v>588</v>
      </c>
      <c r="E10" s="1530" t="s">
        <v>621</v>
      </c>
      <c r="F10" s="1531"/>
      <c r="G10" s="1531"/>
      <c r="H10" s="1538"/>
      <c r="I10" s="1530" t="s">
        <v>627</v>
      </c>
      <c r="J10" s="1531"/>
      <c r="K10" s="1006" t="s">
        <v>1670</v>
      </c>
      <c r="L10" s="1007"/>
      <c r="M10" s="21" t="s">
        <v>620</v>
      </c>
      <c r="O10" s="344"/>
      <c r="P10" s="344"/>
      <c r="Q10" s="344"/>
      <c r="R10" s="344"/>
    </row>
    <row r="11" spans="1:18" x14ac:dyDescent="0.2">
      <c r="B11" s="323" t="s">
        <v>618</v>
      </c>
      <c r="C11" s="324" t="s">
        <v>164</v>
      </c>
      <c r="D11" s="1548"/>
      <c r="E11" s="22" t="s">
        <v>622</v>
      </c>
      <c r="F11" s="22" t="s">
        <v>623</v>
      </c>
      <c r="G11" s="22" t="s">
        <v>624</v>
      </c>
      <c r="H11" s="22" t="s">
        <v>625</v>
      </c>
      <c r="I11" s="22" t="s">
        <v>619</v>
      </c>
      <c r="J11" s="22" t="s">
        <v>625</v>
      </c>
      <c r="K11" s="22" t="s">
        <v>626</v>
      </c>
      <c r="L11" s="22" t="s">
        <v>625</v>
      </c>
      <c r="M11" s="22"/>
      <c r="O11" s="171"/>
      <c r="P11" s="171"/>
      <c r="Q11" s="171"/>
      <c r="R11" s="171"/>
    </row>
    <row r="12" spans="1:18" ht="18" customHeight="1" x14ac:dyDescent="0.2">
      <c r="A12" s="325">
        <v>1</v>
      </c>
      <c r="B12" s="318"/>
      <c r="C12" s="326">
        <v>1</v>
      </c>
      <c r="D12" s="327">
        <f>LOOKUP(C12,Cities!A$3:A$343,Cities!B$3:B$343)</f>
        <v>0</v>
      </c>
      <c r="E12" s="332">
        <v>0</v>
      </c>
      <c r="F12" s="332">
        <v>0</v>
      </c>
      <c r="G12" s="331">
        <f>+E12+F12</f>
        <v>0</v>
      </c>
      <c r="H12" s="913" t="str">
        <f>IF(G$8&gt;0,ROUND(G12/G$8,6),"n/a")</f>
        <v>n/a</v>
      </c>
      <c r="I12" s="964" t="s">
        <v>1796</v>
      </c>
      <c r="J12" s="914" t="str">
        <f t="shared" ref="J12:J26" si="0">IF(K$6&gt;0,ROUND(I12/K$6,6),"n/a")</f>
        <v>n/a</v>
      </c>
      <c r="K12" s="332">
        <v>0</v>
      </c>
      <c r="L12" s="914" t="str">
        <f t="shared" ref="L12:L56" si="1">IF(K$8&gt;0,ROUND(K12/K$8,6),"n/a")</f>
        <v>n/a</v>
      </c>
      <c r="M12" s="330">
        <f>IF(G$8+K$6+K$8=0,0,ROUND((IF(H12="n/a",0,H12)+IF(J12="n/a",0,J12)+IF(L12="n/a",0,L12))/N$9,6))</f>
        <v>0</v>
      </c>
      <c r="O12" s="785">
        <f>LOOKUP(C12,Cities!A$3:A$343,Cities!AA$3:AA$343)</f>
        <v>0</v>
      </c>
      <c r="P12" s="171"/>
      <c r="Q12" s="171"/>
      <c r="R12" s="171"/>
    </row>
    <row r="13" spans="1:18" ht="18" customHeight="1" x14ac:dyDescent="0.2">
      <c r="A13" s="325">
        <v>2</v>
      </c>
      <c r="B13" s="318"/>
      <c r="C13" s="326">
        <v>1</v>
      </c>
      <c r="D13" s="327">
        <f>LOOKUP(C13,Cities!A$3:A$343,Cities!B$3:B$343)</f>
        <v>0</v>
      </c>
      <c r="E13" s="332">
        <v>0</v>
      </c>
      <c r="F13" s="332">
        <v>0</v>
      </c>
      <c r="G13" s="331">
        <f t="shared" ref="G13:G26" si="2">+E13+F13</f>
        <v>0</v>
      </c>
      <c r="H13" s="914" t="str">
        <f t="shared" ref="H13:H56" si="3">IF(G$8&gt;0,ROUND(G13/G$8,6),"n/a")</f>
        <v>n/a</v>
      </c>
      <c r="I13" s="332">
        <v>0</v>
      </c>
      <c r="J13" s="914" t="str">
        <f t="shared" si="0"/>
        <v>n/a</v>
      </c>
      <c r="K13" s="332">
        <v>0</v>
      </c>
      <c r="L13" s="914" t="str">
        <f t="shared" si="1"/>
        <v>n/a</v>
      </c>
      <c r="M13" s="330">
        <f t="shared" ref="M13:M26" si="4">IF(G$8+K$6+K$8=0,0,ROUND((IF(H13="n/a",0,H13)+IF(J13="n/a",0,J13)+IF(L13="n/a",0,L13))/N$9,6))</f>
        <v>0</v>
      </c>
      <c r="O13" s="785">
        <f>LOOKUP(C13,Cities!A$3:A$343,Cities!AA$3:AA$343)</f>
        <v>0</v>
      </c>
      <c r="P13" s="171"/>
      <c r="Q13" s="171"/>
      <c r="R13" s="171"/>
    </row>
    <row r="14" spans="1:18" ht="18" customHeight="1" x14ac:dyDescent="0.2">
      <c r="A14" s="325">
        <v>3</v>
      </c>
      <c r="B14" s="318"/>
      <c r="C14" s="326">
        <v>1</v>
      </c>
      <c r="D14" s="327">
        <f>LOOKUP(C14,Cities!A$3:A$343,Cities!B$3:B$343)</f>
        <v>0</v>
      </c>
      <c r="E14" s="332">
        <v>0</v>
      </c>
      <c r="F14" s="332">
        <v>0</v>
      </c>
      <c r="G14" s="331">
        <f t="shared" si="2"/>
        <v>0</v>
      </c>
      <c r="H14" s="914" t="str">
        <f t="shared" si="3"/>
        <v>n/a</v>
      </c>
      <c r="I14" s="332">
        <v>0</v>
      </c>
      <c r="J14" s="914" t="str">
        <f t="shared" si="0"/>
        <v>n/a</v>
      </c>
      <c r="K14" s="332">
        <v>0</v>
      </c>
      <c r="L14" s="914" t="str">
        <f t="shared" si="1"/>
        <v>n/a</v>
      </c>
      <c r="M14" s="330">
        <f t="shared" si="4"/>
        <v>0</v>
      </c>
      <c r="O14" s="785">
        <f>LOOKUP(C14,Cities!A$3:A$343,Cities!AA$3:AA$343)</f>
        <v>0</v>
      </c>
      <c r="P14" s="171"/>
      <c r="Q14" s="171"/>
      <c r="R14" s="171"/>
    </row>
    <row r="15" spans="1:18" ht="18" customHeight="1" x14ac:dyDescent="0.2">
      <c r="A15" s="325">
        <v>4</v>
      </c>
      <c r="B15" s="318"/>
      <c r="C15" s="326">
        <v>1</v>
      </c>
      <c r="D15" s="327">
        <f>LOOKUP(C15,Cities!A$3:A$343,Cities!B$3:B$343)</f>
        <v>0</v>
      </c>
      <c r="E15" s="332">
        <v>0</v>
      </c>
      <c r="F15" s="332">
        <v>0</v>
      </c>
      <c r="G15" s="331">
        <f t="shared" si="2"/>
        <v>0</v>
      </c>
      <c r="H15" s="914" t="str">
        <f t="shared" si="3"/>
        <v>n/a</v>
      </c>
      <c r="I15" s="332">
        <v>0</v>
      </c>
      <c r="J15" s="914" t="str">
        <f t="shared" si="0"/>
        <v>n/a</v>
      </c>
      <c r="K15" s="332">
        <v>0</v>
      </c>
      <c r="L15" s="914" t="str">
        <f t="shared" si="1"/>
        <v>n/a</v>
      </c>
      <c r="M15" s="330">
        <f t="shared" si="4"/>
        <v>0</v>
      </c>
      <c r="O15" s="785">
        <f>LOOKUP(C15,Cities!A$3:A$343,Cities!AA$3:AA$343)</f>
        <v>0</v>
      </c>
      <c r="P15" s="171"/>
      <c r="Q15" s="171"/>
      <c r="R15" s="171"/>
    </row>
    <row r="16" spans="1:18" ht="18" customHeight="1" x14ac:dyDescent="0.2">
      <c r="A16" s="325">
        <v>5</v>
      </c>
      <c r="B16" s="318"/>
      <c r="C16" s="326">
        <v>1</v>
      </c>
      <c r="D16" s="327">
        <f>LOOKUP(C16,Cities!A$3:A$343,Cities!B$3:B$343)</f>
        <v>0</v>
      </c>
      <c r="E16" s="332">
        <v>0</v>
      </c>
      <c r="F16" s="332">
        <v>0</v>
      </c>
      <c r="G16" s="331">
        <f t="shared" si="2"/>
        <v>0</v>
      </c>
      <c r="H16" s="914" t="str">
        <f t="shared" si="3"/>
        <v>n/a</v>
      </c>
      <c r="I16" s="332">
        <v>0</v>
      </c>
      <c r="J16" s="914" t="str">
        <f t="shared" si="0"/>
        <v>n/a</v>
      </c>
      <c r="K16" s="332">
        <v>0</v>
      </c>
      <c r="L16" s="914" t="str">
        <f t="shared" si="1"/>
        <v>n/a</v>
      </c>
      <c r="M16" s="330">
        <f t="shared" si="4"/>
        <v>0</v>
      </c>
      <c r="O16" s="785">
        <f>LOOKUP(C16,Cities!A$3:A$343,Cities!AA$3:AA$343)</f>
        <v>0</v>
      </c>
      <c r="P16" s="171"/>
      <c r="Q16" s="171"/>
      <c r="R16" s="171"/>
    </row>
    <row r="17" spans="1:18" ht="18" customHeight="1" x14ac:dyDescent="0.2">
      <c r="A17" s="325">
        <v>6</v>
      </c>
      <c r="B17" s="318"/>
      <c r="C17" s="326">
        <v>1</v>
      </c>
      <c r="D17" s="327">
        <f>LOOKUP(C17,Cities!A$3:A$343,Cities!B$3:B$343)</f>
        <v>0</v>
      </c>
      <c r="E17" s="332">
        <v>0</v>
      </c>
      <c r="F17" s="332">
        <v>0</v>
      </c>
      <c r="G17" s="331">
        <f t="shared" si="2"/>
        <v>0</v>
      </c>
      <c r="H17" s="914" t="str">
        <f t="shared" si="3"/>
        <v>n/a</v>
      </c>
      <c r="I17" s="332">
        <v>0</v>
      </c>
      <c r="J17" s="914" t="str">
        <f t="shared" si="0"/>
        <v>n/a</v>
      </c>
      <c r="K17" s="332">
        <v>0</v>
      </c>
      <c r="L17" s="914" t="str">
        <f t="shared" si="1"/>
        <v>n/a</v>
      </c>
      <c r="M17" s="330">
        <f t="shared" si="4"/>
        <v>0</v>
      </c>
      <c r="O17" s="785">
        <f>LOOKUP(C17,Cities!A$3:A$343,Cities!AA$3:AA$343)</f>
        <v>0</v>
      </c>
      <c r="P17" s="171"/>
      <c r="Q17" s="171"/>
      <c r="R17" s="171"/>
    </row>
    <row r="18" spans="1:18" ht="18" customHeight="1" x14ac:dyDescent="0.2">
      <c r="A18" s="325">
        <v>7</v>
      </c>
      <c r="B18" s="318"/>
      <c r="C18" s="326">
        <v>1</v>
      </c>
      <c r="D18" s="327">
        <f>LOOKUP(C18,Cities!A$3:A$343,Cities!B$3:B$343)</f>
        <v>0</v>
      </c>
      <c r="E18" s="332">
        <v>0</v>
      </c>
      <c r="F18" s="332">
        <v>0</v>
      </c>
      <c r="G18" s="331">
        <f t="shared" si="2"/>
        <v>0</v>
      </c>
      <c r="H18" s="914" t="str">
        <f t="shared" si="3"/>
        <v>n/a</v>
      </c>
      <c r="I18" s="332">
        <v>0</v>
      </c>
      <c r="J18" s="914" t="str">
        <f t="shared" si="0"/>
        <v>n/a</v>
      </c>
      <c r="K18" s="332">
        <v>0</v>
      </c>
      <c r="L18" s="914" t="str">
        <f t="shared" si="1"/>
        <v>n/a</v>
      </c>
      <c r="M18" s="330">
        <f t="shared" si="4"/>
        <v>0</v>
      </c>
      <c r="O18" s="785">
        <f>LOOKUP(C18,Cities!A$3:A$343,Cities!AA$3:AA$343)</f>
        <v>0</v>
      </c>
      <c r="P18" s="171"/>
      <c r="Q18" s="171"/>
      <c r="R18" s="171"/>
    </row>
    <row r="19" spans="1:18" ht="18" customHeight="1" x14ac:dyDescent="0.2">
      <c r="A19" s="325">
        <v>8</v>
      </c>
      <c r="B19" s="318"/>
      <c r="C19" s="326">
        <v>1</v>
      </c>
      <c r="D19" s="327">
        <f>LOOKUP(C19,Cities!A$3:A$343,Cities!B$3:B$343)</f>
        <v>0</v>
      </c>
      <c r="E19" s="332">
        <v>0</v>
      </c>
      <c r="F19" s="332">
        <v>0</v>
      </c>
      <c r="G19" s="331">
        <f t="shared" si="2"/>
        <v>0</v>
      </c>
      <c r="H19" s="914" t="str">
        <f t="shared" si="3"/>
        <v>n/a</v>
      </c>
      <c r="I19" s="332">
        <v>0</v>
      </c>
      <c r="J19" s="914" t="str">
        <f t="shared" si="0"/>
        <v>n/a</v>
      </c>
      <c r="K19" s="332">
        <v>0</v>
      </c>
      <c r="L19" s="914" t="str">
        <f t="shared" si="1"/>
        <v>n/a</v>
      </c>
      <c r="M19" s="330">
        <f t="shared" si="4"/>
        <v>0</v>
      </c>
      <c r="O19" s="785">
        <f>LOOKUP(C19,Cities!A$3:A$343,Cities!AA$3:AA$343)</f>
        <v>0</v>
      </c>
      <c r="P19" s="171"/>
      <c r="Q19" s="171"/>
      <c r="R19" s="171"/>
    </row>
    <row r="20" spans="1:18" ht="18" customHeight="1" x14ac:dyDescent="0.2">
      <c r="A20" s="325">
        <v>9</v>
      </c>
      <c r="B20" s="318"/>
      <c r="C20" s="326">
        <v>1</v>
      </c>
      <c r="D20" s="327">
        <f>LOOKUP(C20,Cities!A$3:A$343,Cities!B$3:B$343)</f>
        <v>0</v>
      </c>
      <c r="E20" s="332">
        <v>0</v>
      </c>
      <c r="F20" s="332">
        <v>0</v>
      </c>
      <c r="G20" s="331">
        <f t="shared" si="2"/>
        <v>0</v>
      </c>
      <c r="H20" s="914" t="str">
        <f t="shared" si="3"/>
        <v>n/a</v>
      </c>
      <c r="I20" s="332">
        <v>0</v>
      </c>
      <c r="J20" s="914" t="str">
        <f t="shared" si="0"/>
        <v>n/a</v>
      </c>
      <c r="K20" s="332">
        <v>0</v>
      </c>
      <c r="L20" s="914" t="str">
        <f t="shared" si="1"/>
        <v>n/a</v>
      </c>
      <c r="M20" s="330">
        <f t="shared" si="4"/>
        <v>0</v>
      </c>
      <c r="O20" s="785">
        <f>LOOKUP(C20,Cities!A$3:A$343,Cities!AA$3:AA$343)</f>
        <v>0</v>
      </c>
      <c r="P20" s="171"/>
      <c r="Q20" s="171"/>
      <c r="R20" s="171"/>
    </row>
    <row r="21" spans="1:18" ht="18" customHeight="1" x14ac:dyDescent="0.2">
      <c r="A21" s="325">
        <v>10</v>
      </c>
      <c r="B21" s="318"/>
      <c r="C21" s="326">
        <v>1</v>
      </c>
      <c r="D21" s="327">
        <f>LOOKUP(C21,Cities!A$3:A$343,Cities!B$3:B$343)</f>
        <v>0</v>
      </c>
      <c r="E21" s="332">
        <v>0</v>
      </c>
      <c r="F21" s="332">
        <v>0</v>
      </c>
      <c r="G21" s="331">
        <f t="shared" si="2"/>
        <v>0</v>
      </c>
      <c r="H21" s="914" t="str">
        <f t="shared" si="3"/>
        <v>n/a</v>
      </c>
      <c r="I21" s="332">
        <v>0</v>
      </c>
      <c r="J21" s="914" t="str">
        <f t="shared" si="0"/>
        <v>n/a</v>
      </c>
      <c r="K21" s="332">
        <v>0</v>
      </c>
      <c r="L21" s="914" t="str">
        <f t="shared" si="1"/>
        <v>n/a</v>
      </c>
      <c r="M21" s="330">
        <f t="shared" si="4"/>
        <v>0</v>
      </c>
      <c r="O21" s="785">
        <f>LOOKUP(C21,Cities!A$3:A$343,Cities!AA$3:AA$343)</f>
        <v>0</v>
      </c>
      <c r="P21" s="171"/>
      <c r="Q21" s="171"/>
      <c r="R21" s="171"/>
    </row>
    <row r="22" spans="1:18" ht="18" customHeight="1" x14ac:dyDescent="0.2">
      <c r="A22" s="325">
        <v>11</v>
      </c>
      <c r="B22" s="318"/>
      <c r="C22" s="326">
        <v>1</v>
      </c>
      <c r="D22" s="327">
        <f>LOOKUP(C22,Cities!A$3:A$343,Cities!B$3:B$343)</f>
        <v>0</v>
      </c>
      <c r="E22" s="332">
        <v>0</v>
      </c>
      <c r="F22" s="332">
        <v>0</v>
      </c>
      <c r="G22" s="331">
        <f t="shared" si="2"/>
        <v>0</v>
      </c>
      <c r="H22" s="914" t="str">
        <f t="shared" si="3"/>
        <v>n/a</v>
      </c>
      <c r="I22" s="332">
        <v>0</v>
      </c>
      <c r="J22" s="914" t="str">
        <f t="shared" si="0"/>
        <v>n/a</v>
      </c>
      <c r="K22" s="332">
        <v>0</v>
      </c>
      <c r="L22" s="914" t="str">
        <f t="shared" si="1"/>
        <v>n/a</v>
      </c>
      <c r="M22" s="330">
        <f t="shared" si="4"/>
        <v>0</v>
      </c>
      <c r="O22" s="785">
        <f>LOOKUP(C22,Cities!A$3:A$343,Cities!AA$3:AA$343)</f>
        <v>0</v>
      </c>
      <c r="P22" s="171"/>
      <c r="Q22" s="171"/>
      <c r="R22" s="171"/>
    </row>
    <row r="23" spans="1:18" ht="18" customHeight="1" x14ac:dyDescent="0.2">
      <c r="A23" s="325">
        <v>12</v>
      </c>
      <c r="B23" s="318"/>
      <c r="C23" s="326">
        <v>1</v>
      </c>
      <c r="D23" s="327">
        <f>LOOKUP(C23,Cities!A$3:A$343,Cities!B$3:B$343)</f>
        <v>0</v>
      </c>
      <c r="E23" s="332">
        <v>0</v>
      </c>
      <c r="F23" s="332">
        <v>0</v>
      </c>
      <c r="G23" s="331">
        <f t="shared" si="2"/>
        <v>0</v>
      </c>
      <c r="H23" s="914" t="str">
        <f t="shared" si="3"/>
        <v>n/a</v>
      </c>
      <c r="I23" s="332">
        <v>0</v>
      </c>
      <c r="J23" s="914" t="str">
        <f t="shared" si="0"/>
        <v>n/a</v>
      </c>
      <c r="K23" s="332">
        <v>0</v>
      </c>
      <c r="L23" s="914" t="str">
        <f t="shared" si="1"/>
        <v>n/a</v>
      </c>
      <c r="M23" s="330">
        <f t="shared" si="4"/>
        <v>0</v>
      </c>
      <c r="O23" s="785">
        <f>LOOKUP(C23,Cities!A$3:A$343,Cities!AA$3:AA$343)</f>
        <v>0</v>
      </c>
      <c r="P23" s="171"/>
      <c r="Q23" s="171"/>
      <c r="R23" s="171"/>
    </row>
    <row r="24" spans="1:18" ht="18" customHeight="1" x14ac:dyDescent="0.2">
      <c r="A24" s="325">
        <v>13</v>
      </c>
      <c r="B24" s="318"/>
      <c r="C24" s="326">
        <v>1</v>
      </c>
      <c r="D24" s="327">
        <f>LOOKUP(C24,Cities!A$3:A$343,Cities!B$3:B$343)</f>
        <v>0</v>
      </c>
      <c r="E24" s="332">
        <v>0</v>
      </c>
      <c r="F24" s="332">
        <v>0</v>
      </c>
      <c r="G24" s="331">
        <f t="shared" si="2"/>
        <v>0</v>
      </c>
      <c r="H24" s="914" t="str">
        <f t="shared" si="3"/>
        <v>n/a</v>
      </c>
      <c r="I24" s="332">
        <v>0</v>
      </c>
      <c r="J24" s="914" t="str">
        <f t="shared" si="0"/>
        <v>n/a</v>
      </c>
      <c r="K24" s="332">
        <v>0</v>
      </c>
      <c r="L24" s="914" t="str">
        <f t="shared" si="1"/>
        <v>n/a</v>
      </c>
      <c r="M24" s="330">
        <f t="shared" si="4"/>
        <v>0</v>
      </c>
      <c r="O24" s="785">
        <f>LOOKUP(C24,Cities!A$3:A$343,Cities!AA$3:AA$343)</f>
        <v>0</v>
      </c>
      <c r="P24" s="171"/>
      <c r="Q24" s="171"/>
      <c r="R24" s="171"/>
    </row>
    <row r="25" spans="1:18" ht="18" customHeight="1" x14ac:dyDescent="0.2">
      <c r="A25" s="325">
        <v>14</v>
      </c>
      <c r="B25" s="318"/>
      <c r="C25" s="326">
        <v>1</v>
      </c>
      <c r="D25" s="327">
        <f>LOOKUP(C25,Cities!A$3:A$343,Cities!B$3:B$343)</f>
        <v>0</v>
      </c>
      <c r="E25" s="332">
        <v>0</v>
      </c>
      <c r="F25" s="332">
        <v>0</v>
      </c>
      <c r="G25" s="331">
        <f t="shared" si="2"/>
        <v>0</v>
      </c>
      <c r="H25" s="914" t="str">
        <f t="shared" si="3"/>
        <v>n/a</v>
      </c>
      <c r="I25" s="332">
        <v>0</v>
      </c>
      <c r="J25" s="914" t="str">
        <f t="shared" si="0"/>
        <v>n/a</v>
      </c>
      <c r="K25" s="332">
        <v>0</v>
      </c>
      <c r="L25" s="914" t="str">
        <f t="shared" si="1"/>
        <v>n/a</v>
      </c>
      <c r="M25" s="330">
        <f t="shared" si="4"/>
        <v>0</v>
      </c>
      <c r="O25" s="785">
        <f>LOOKUP(C25,Cities!A$3:A$343,Cities!AA$3:AA$343)</f>
        <v>0</v>
      </c>
      <c r="P25" s="171"/>
      <c r="Q25" s="171"/>
      <c r="R25" s="171"/>
    </row>
    <row r="26" spans="1:18" ht="18" customHeight="1" x14ac:dyDescent="0.2">
      <c r="A26" s="325">
        <v>15</v>
      </c>
      <c r="B26" s="318"/>
      <c r="C26" s="326">
        <v>1</v>
      </c>
      <c r="D26" s="327">
        <f>LOOKUP(C26,Cities!A$3:A$343,Cities!B$3:B$343)</f>
        <v>0</v>
      </c>
      <c r="E26" s="332">
        <v>0</v>
      </c>
      <c r="F26" s="332">
        <v>0</v>
      </c>
      <c r="G26" s="331">
        <f t="shared" si="2"/>
        <v>0</v>
      </c>
      <c r="H26" s="914" t="str">
        <f t="shared" si="3"/>
        <v>n/a</v>
      </c>
      <c r="I26" s="332">
        <v>0</v>
      </c>
      <c r="J26" s="914" t="str">
        <f t="shared" si="0"/>
        <v>n/a</v>
      </c>
      <c r="K26" s="332">
        <v>0</v>
      </c>
      <c r="L26" s="914" t="str">
        <f t="shared" si="1"/>
        <v>n/a</v>
      </c>
      <c r="M26" s="330">
        <f t="shared" si="4"/>
        <v>0</v>
      </c>
      <c r="O26" s="785">
        <f>LOOKUP(C26,Cities!A$3:A$343,Cities!AA$3:AA$343)</f>
        <v>0</v>
      </c>
      <c r="P26" s="171"/>
      <c r="Q26" s="171"/>
      <c r="R26" s="171"/>
    </row>
    <row r="27" spans="1:18" s="67" customFormat="1" ht="18" customHeight="1" x14ac:dyDescent="0.2">
      <c r="A27" s="325">
        <v>16</v>
      </c>
      <c r="B27" s="318"/>
      <c r="C27" s="326">
        <v>1</v>
      </c>
      <c r="D27" s="327">
        <f>LOOKUP(C27,Cities!A$3:A$343,Cities!B$3:B$343)</f>
        <v>0</v>
      </c>
      <c r="E27" s="332">
        <v>0</v>
      </c>
      <c r="F27" s="332">
        <v>0</v>
      </c>
      <c r="G27" s="331">
        <f t="shared" ref="G27:G41" si="5">+E27+F27</f>
        <v>0</v>
      </c>
      <c r="H27" s="914" t="str">
        <f t="shared" si="3"/>
        <v>n/a</v>
      </c>
      <c r="I27" s="332">
        <v>0</v>
      </c>
      <c r="J27" s="914" t="str">
        <f t="shared" ref="J27:J41" si="6">IF(K$6&gt;0,ROUND(I27/K$6,6),"n/a")</f>
        <v>n/a</v>
      </c>
      <c r="K27" s="332">
        <v>0</v>
      </c>
      <c r="L27" s="914" t="str">
        <f t="shared" si="1"/>
        <v>n/a</v>
      </c>
      <c r="M27" s="330">
        <f t="shared" ref="M27:M41" si="7">IF(G$8+K$6+K$8=0,0,ROUND((IF(H27="n/a",0,H27)+IF(J27="n/a",0,J27)+IF(L27="n/a",0,L27))/N$9,6))</f>
        <v>0</v>
      </c>
      <c r="O27" s="785">
        <f>LOOKUP(C27,Cities!A$3:A$343,Cities!AA$3:AA$343)</f>
        <v>0</v>
      </c>
      <c r="P27" s="345"/>
      <c r="Q27" s="345"/>
      <c r="R27" s="345"/>
    </row>
    <row r="28" spans="1:18" s="67" customFormat="1" ht="18" customHeight="1" x14ac:dyDescent="0.2">
      <c r="A28" s="325">
        <v>17</v>
      </c>
      <c r="B28" s="318"/>
      <c r="C28" s="326">
        <v>1</v>
      </c>
      <c r="D28" s="327">
        <f>LOOKUP(C28,Cities!A$3:A$343,Cities!B$3:B$343)</f>
        <v>0</v>
      </c>
      <c r="E28" s="332">
        <v>0</v>
      </c>
      <c r="F28" s="332">
        <v>0</v>
      </c>
      <c r="G28" s="331">
        <f t="shared" si="5"/>
        <v>0</v>
      </c>
      <c r="H28" s="914" t="str">
        <f t="shared" si="3"/>
        <v>n/a</v>
      </c>
      <c r="I28" s="332">
        <v>0</v>
      </c>
      <c r="J28" s="914" t="str">
        <f t="shared" si="6"/>
        <v>n/a</v>
      </c>
      <c r="K28" s="332">
        <v>0</v>
      </c>
      <c r="L28" s="914" t="str">
        <f t="shared" si="1"/>
        <v>n/a</v>
      </c>
      <c r="M28" s="330">
        <f t="shared" si="7"/>
        <v>0</v>
      </c>
      <c r="O28" s="785">
        <f>LOOKUP(C28,Cities!A$3:A$343,Cities!AA$3:AA$343)</f>
        <v>0</v>
      </c>
      <c r="P28" s="345"/>
      <c r="Q28" s="345"/>
      <c r="R28" s="345"/>
    </row>
    <row r="29" spans="1:18" s="67" customFormat="1" ht="18" customHeight="1" x14ac:dyDescent="0.2">
      <c r="A29" s="325">
        <v>18</v>
      </c>
      <c r="B29" s="318"/>
      <c r="C29" s="326">
        <v>1</v>
      </c>
      <c r="D29" s="327">
        <f>LOOKUP(C29,Cities!A$3:A$343,Cities!B$3:B$343)</f>
        <v>0</v>
      </c>
      <c r="E29" s="332">
        <v>0</v>
      </c>
      <c r="F29" s="332">
        <v>0</v>
      </c>
      <c r="G29" s="331">
        <f t="shared" si="5"/>
        <v>0</v>
      </c>
      <c r="H29" s="914" t="str">
        <f t="shared" si="3"/>
        <v>n/a</v>
      </c>
      <c r="I29" s="332">
        <v>0</v>
      </c>
      <c r="J29" s="914" t="str">
        <f t="shared" si="6"/>
        <v>n/a</v>
      </c>
      <c r="K29" s="332">
        <v>0</v>
      </c>
      <c r="L29" s="914" t="str">
        <f t="shared" si="1"/>
        <v>n/a</v>
      </c>
      <c r="M29" s="330">
        <f t="shared" si="7"/>
        <v>0</v>
      </c>
      <c r="O29" s="785">
        <f>LOOKUP(C29,Cities!A$3:A$343,Cities!AA$3:AA$343)</f>
        <v>0</v>
      </c>
      <c r="P29" s="345"/>
      <c r="Q29" s="345"/>
      <c r="R29" s="345"/>
    </row>
    <row r="30" spans="1:18" s="67" customFormat="1" ht="18" customHeight="1" x14ac:dyDescent="0.2">
      <c r="A30" s="325">
        <v>19</v>
      </c>
      <c r="B30" s="318"/>
      <c r="C30" s="326">
        <v>1</v>
      </c>
      <c r="D30" s="327">
        <f>LOOKUP(C30,Cities!A$3:A$343,Cities!B$3:B$343)</f>
        <v>0</v>
      </c>
      <c r="E30" s="332">
        <v>0</v>
      </c>
      <c r="F30" s="332">
        <v>0</v>
      </c>
      <c r="G30" s="331">
        <f t="shared" si="5"/>
        <v>0</v>
      </c>
      <c r="H30" s="914" t="str">
        <f t="shared" si="3"/>
        <v>n/a</v>
      </c>
      <c r="I30" s="332">
        <v>0</v>
      </c>
      <c r="J30" s="914" t="str">
        <f t="shared" si="6"/>
        <v>n/a</v>
      </c>
      <c r="K30" s="332">
        <v>0</v>
      </c>
      <c r="L30" s="914" t="str">
        <f t="shared" si="1"/>
        <v>n/a</v>
      </c>
      <c r="M30" s="330">
        <f t="shared" si="7"/>
        <v>0</v>
      </c>
      <c r="O30" s="785">
        <f>LOOKUP(C30,Cities!A$3:A$343,Cities!AA$3:AA$343)</f>
        <v>0</v>
      </c>
      <c r="P30" s="345"/>
      <c r="Q30" s="345"/>
      <c r="R30" s="345"/>
    </row>
    <row r="31" spans="1:18" s="67" customFormat="1" ht="18" customHeight="1" x14ac:dyDescent="0.2">
      <c r="A31" s="325">
        <v>20</v>
      </c>
      <c r="B31" s="318"/>
      <c r="C31" s="326">
        <v>1</v>
      </c>
      <c r="D31" s="327">
        <f>LOOKUP(C31,Cities!A$3:A$343,Cities!B$3:B$343)</f>
        <v>0</v>
      </c>
      <c r="E31" s="332">
        <v>0</v>
      </c>
      <c r="F31" s="332">
        <v>0</v>
      </c>
      <c r="G31" s="331">
        <f t="shared" si="5"/>
        <v>0</v>
      </c>
      <c r="H31" s="914" t="str">
        <f t="shared" si="3"/>
        <v>n/a</v>
      </c>
      <c r="I31" s="332">
        <v>0</v>
      </c>
      <c r="J31" s="914" t="str">
        <f t="shared" si="6"/>
        <v>n/a</v>
      </c>
      <c r="K31" s="332">
        <v>0</v>
      </c>
      <c r="L31" s="914" t="str">
        <f t="shared" si="1"/>
        <v>n/a</v>
      </c>
      <c r="M31" s="330">
        <f t="shared" si="7"/>
        <v>0</v>
      </c>
      <c r="O31" s="785">
        <f>LOOKUP(C31,Cities!A$3:A$343,Cities!AA$3:AA$343)</f>
        <v>0</v>
      </c>
      <c r="P31" s="345"/>
      <c r="Q31" s="345"/>
      <c r="R31" s="345"/>
    </row>
    <row r="32" spans="1:18" s="67" customFormat="1" ht="18" customHeight="1" x14ac:dyDescent="0.2">
      <c r="A32" s="325">
        <v>21</v>
      </c>
      <c r="B32" s="318"/>
      <c r="C32" s="326">
        <v>1</v>
      </c>
      <c r="D32" s="327">
        <f>LOOKUP(C32,Cities!A$3:A$343,Cities!B$3:B$343)</f>
        <v>0</v>
      </c>
      <c r="E32" s="332">
        <v>0</v>
      </c>
      <c r="F32" s="332">
        <v>0</v>
      </c>
      <c r="G32" s="331">
        <f t="shared" si="5"/>
        <v>0</v>
      </c>
      <c r="H32" s="914" t="str">
        <f t="shared" si="3"/>
        <v>n/a</v>
      </c>
      <c r="I32" s="332">
        <v>0</v>
      </c>
      <c r="J32" s="914" t="str">
        <f t="shared" si="6"/>
        <v>n/a</v>
      </c>
      <c r="K32" s="332">
        <v>0</v>
      </c>
      <c r="L32" s="914" t="str">
        <f t="shared" si="1"/>
        <v>n/a</v>
      </c>
      <c r="M32" s="330">
        <f t="shared" si="7"/>
        <v>0</v>
      </c>
      <c r="O32" s="785">
        <f>LOOKUP(C32,Cities!A$3:A$343,Cities!AA$3:AA$343)</f>
        <v>0</v>
      </c>
      <c r="P32" s="345"/>
      <c r="Q32" s="345"/>
      <c r="R32" s="345"/>
    </row>
    <row r="33" spans="1:18" s="67" customFormat="1" ht="18" customHeight="1" x14ac:dyDescent="0.2">
      <c r="A33" s="325">
        <v>22</v>
      </c>
      <c r="B33" s="318"/>
      <c r="C33" s="326">
        <v>1</v>
      </c>
      <c r="D33" s="327">
        <f>LOOKUP(C33,Cities!A$3:A$343,Cities!B$3:B$343)</f>
        <v>0</v>
      </c>
      <c r="E33" s="332">
        <v>0</v>
      </c>
      <c r="F33" s="332">
        <v>0</v>
      </c>
      <c r="G33" s="331">
        <f t="shared" si="5"/>
        <v>0</v>
      </c>
      <c r="H33" s="914" t="str">
        <f t="shared" si="3"/>
        <v>n/a</v>
      </c>
      <c r="I33" s="332">
        <v>0</v>
      </c>
      <c r="J33" s="914" t="str">
        <f t="shared" si="6"/>
        <v>n/a</v>
      </c>
      <c r="K33" s="332">
        <v>0</v>
      </c>
      <c r="L33" s="914" t="str">
        <f t="shared" si="1"/>
        <v>n/a</v>
      </c>
      <c r="M33" s="330">
        <f t="shared" si="7"/>
        <v>0</v>
      </c>
      <c r="O33" s="785">
        <f>LOOKUP(C33,Cities!A$3:A$343,Cities!AA$3:AA$343)</f>
        <v>0</v>
      </c>
      <c r="P33" s="345"/>
      <c r="Q33" s="345"/>
      <c r="R33" s="345"/>
    </row>
    <row r="34" spans="1:18" s="67" customFormat="1" ht="18" customHeight="1" x14ac:dyDescent="0.2">
      <c r="A34" s="325">
        <v>23</v>
      </c>
      <c r="B34" s="318"/>
      <c r="C34" s="326">
        <v>1</v>
      </c>
      <c r="D34" s="327">
        <f>LOOKUP(C34,Cities!A$3:A$343,Cities!B$3:B$343)</f>
        <v>0</v>
      </c>
      <c r="E34" s="332">
        <v>0</v>
      </c>
      <c r="F34" s="332">
        <v>0</v>
      </c>
      <c r="G34" s="331">
        <f t="shared" si="5"/>
        <v>0</v>
      </c>
      <c r="H34" s="914" t="str">
        <f t="shared" si="3"/>
        <v>n/a</v>
      </c>
      <c r="I34" s="332">
        <v>0</v>
      </c>
      <c r="J34" s="914" t="str">
        <f t="shared" si="6"/>
        <v>n/a</v>
      </c>
      <c r="K34" s="332">
        <v>0</v>
      </c>
      <c r="L34" s="914" t="str">
        <f t="shared" si="1"/>
        <v>n/a</v>
      </c>
      <c r="M34" s="330">
        <f t="shared" si="7"/>
        <v>0</v>
      </c>
      <c r="O34" s="785">
        <f>LOOKUP(C34,Cities!A$3:A$343,Cities!AA$3:AA$343)</f>
        <v>0</v>
      </c>
      <c r="P34" s="345"/>
      <c r="Q34" s="345"/>
      <c r="R34" s="345"/>
    </row>
    <row r="35" spans="1:18" s="67" customFormat="1" ht="18" customHeight="1" x14ac:dyDescent="0.2">
      <c r="A35" s="325">
        <v>24</v>
      </c>
      <c r="B35" s="318"/>
      <c r="C35" s="326">
        <v>1</v>
      </c>
      <c r="D35" s="327">
        <f>LOOKUP(C35,Cities!A$3:A$343,Cities!B$3:B$343)</f>
        <v>0</v>
      </c>
      <c r="E35" s="332">
        <v>0</v>
      </c>
      <c r="F35" s="332">
        <v>0</v>
      </c>
      <c r="G35" s="331">
        <f t="shared" si="5"/>
        <v>0</v>
      </c>
      <c r="H35" s="914" t="str">
        <f t="shared" si="3"/>
        <v>n/a</v>
      </c>
      <c r="I35" s="332">
        <v>0</v>
      </c>
      <c r="J35" s="914" t="str">
        <f t="shared" si="6"/>
        <v>n/a</v>
      </c>
      <c r="K35" s="332">
        <v>0</v>
      </c>
      <c r="L35" s="914" t="str">
        <f t="shared" si="1"/>
        <v>n/a</v>
      </c>
      <c r="M35" s="330">
        <f t="shared" si="7"/>
        <v>0</v>
      </c>
      <c r="O35" s="785">
        <f>LOOKUP(C35,Cities!A$3:A$343,Cities!AA$3:AA$343)</f>
        <v>0</v>
      </c>
      <c r="P35" s="345"/>
      <c r="Q35" s="345"/>
      <c r="R35" s="345"/>
    </row>
    <row r="36" spans="1:18" s="67" customFormat="1" ht="18" customHeight="1" x14ac:dyDescent="0.2">
      <c r="A36" s="325">
        <v>25</v>
      </c>
      <c r="B36" s="318"/>
      <c r="C36" s="326">
        <v>1</v>
      </c>
      <c r="D36" s="327">
        <f>LOOKUP(C36,Cities!A$3:A$343,Cities!B$3:B$343)</f>
        <v>0</v>
      </c>
      <c r="E36" s="332">
        <v>0</v>
      </c>
      <c r="F36" s="332">
        <v>0</v>
      </c>
      <c r="G36" s="331">
        <f t="shared" si="5"/>
        <v>0</v>
      </c>
      <c r="H36" s="914" t="str">
        <f t="shared" si="3"/>
        <v>n/a</v>
      </c>
      <c r="I36" s="332">
        <v>0</v>
      </c>
      <c r="J36" s="914" t="str">
        <f t="shared" si="6"/>
        <v>n/a</v>
      </c>
      <c r="K36" s="332">
        <v>0</v>
      </c>
      <c r="L36" s="914" t="str">
        <f t="shared" si="1"/>
        <v>n/a</v>
      </c>
      <c r="M36" s="330">
        <f t="shared" si="7"/>
        <v>0</v>
      </c>
      <c r="O36" s="785">
        <f>LOOKUP(C36,Cities!A$3:A$343,Cities!AA$3:AA$343)</f>
        <v>0</v>
      </c>
      <c r="P36" s="345"/>
      <c r="Q36" s="345"/>
      <c r="R36" s="345"/>
    </row>
    <row r="37" spans="1:18" s="67" customFormat="1" ht="18" customHeight="1" x14ac:dyDescent="0.2">
      <c r="A37" s="325">
        <v>26</v>
      </c>
      <c r="B37" s="318"/>
      <c r="C37" s="326">
        <v>1</v>
      </c>
      <c r="D37" s="327">
        <f>LOOKUP(C37,Cities!A$3:A$343,Cities!B$3:B$343)</f>
        <v>0</v>
      </c>
      <c r="E37" s="332">
        <v>0</v>
      </c>
      <c r="F37" s="332">
        <v>0</v>
      </c>
      <c r="G37" s="331">
        <f t="shared" si="5"/>
        <v>0</v>
      </c>
      <c r="H37" s="914" t="str">
        <f t="shared" si="3"/>
        <v>n/a</v>
      </c>
      <c r="I37" s="332">
        <v>0</v>
      </c>
      <c r="J37" s="914" t="str">
        <f t="shared" si="6"/>
        <v>n/a</v>
      </c>
      <c r="K37" s="332">
        <v>0</v>
      </c>
      <c r="L37" s="914" t="str">
        <f t="shared" si="1"/>
        <v>n/a</v>
      </c>
      <c r="M37" s="330">
        <f t="shared" si="7"/>
        <v>0</v>
      </c>
      <c r="O37" s="785">
        <f>LOOKUP(C37,Cities!A$3:A$343,Cities!AA$3:AA$343)</f>
        <v>0</v>
      </c>
      <c r="P37" s="345"/>
      <c r="Q37" s="345"/>
      <c r="R37" s="345"/>
    </row>
    <row r="38" spans="1:18" s="67" customFormat="1" ht="18" customHeight="1" x14ac:dyDescent="0.2">
      <c r="A38" s="325">
        <v>27</v>
      </c>
      <c r="B38" s="318"/>
      <c r="C38" s="326">
        <v>1</v>
      </c>
      <c r="D38" s="327">
        <f>LOOKUP(C38,Cities!A$3:A$343,Cities!B$3:B$343)</f>
        <v>0</v>
      </c>
      <c r="E38" s="332">
        <v>0</v>
      </c>
      <c r="F38" s="332">
        <v>0</v>
      </c>
      <c r="G38" s="331">
        <f t="shared" si="5"/>
        <v>0</v>
      </c>
      <c r="H38" s="914" t="str">
        <f t="shared" si="3"/>
        <v>n/a</v>
      </c>
      <c r="I38" s="332">
        <v>0</v>
      </c>
      <c r="J38" s="914" t="str">
        <f t="shared" si="6"/>
        <v>n/a</v>
      </c>
      <c r="K38" s="332">
        <v>0</v>
      </c>
      <c r="L38" s="914" t="str">
        <f t="shared" si="1"/>
        <v>n/a</v>
      </c>
      <c r="M38" s="330">
        <f t="shared" si="7"/>
        <v>0</v>
      </c>
      <c r="O38" s="785">
        <f>LOOKUP(C38,Cities!A$3:A$343,Cities!AA$3:AA$343)</f>
        <v>0</v>
      </c>
      <c r="P38" s="345"/>
      <c r="Q38" s="345"/>
      <c r="R38" s="345"/>
    </row>
    <row r="39" spans="1:18" s="67" customFormat="1" ht="18" customHeight="1" x14ac:dyDescent="0.2">
      <c r="A39" s="325">
        <v>28</v>
      </c>
      <c r="B39" s="318"/>
      <c r="C39" s="326">
        <v>1</v>
      </c>
      <c r="D39" s="327">
        <f>LOOKUP(C39,Cities!A$3:A$343,Cities!B$3:B$343)</f>
        <v>0</v>
      </c>
      <c r="E39" s="332">
        <v>0</v>
      </c>
      <c r="F39" s="332">
        <v>0</v>
      </c>
      <c r="G39" s="331">
        <f t="shared" si="5"/>
        <v>0</v>
      </c>
      <c r="H39" s="914" t="str">
        <f t="shared" si="3"/>
        <v>n/a</v>
      </c>
      <c r="I39" s="332">
        <v>0</v>
      </c>
      <c r="J39" s="914" t="str">
        <f t="shared" si="6"/>
        <v>n/a</v>
      </c>
      <c r="K39" s="332">
        <v>0</v>
      </c>
      <c r="L39" s="914" t="str">
        <f t="shared" si="1"/>
        <v>n/a</v>
      </c>
      <c r="M39" s="330">
        <f t="shared" si="7"/>
        <v>0</v>
      </c>
      <c r="O39" s="785">
        <f>LOOKUP(C39,Cities!A$3:A$343,Cities!AA$3:AA$343)</f>
        <v>0</v>
      </c>
      <c r="P39" s="345"/>
      <c r="Q39" s="345"/>
      <c r="R39" s="345"/>
    </row>
    <row r="40" spans="1:18" s="67" customFormat="1" ht="18" customHeight="1" x14ac:dyDescent="0.2">
      <c r="A40" s="325">
        <v>29</v>
      </c>
      <c r="B40" s="318"/>
      <c r="C40" s="326">
        <v>1</v>
      </c>
      <c r="D40" s="327">
        <f>LOOKUP(C40,Cities!A$3:A$343,Cities!B$3:B$343)</f>
        <v>0</v>
      </c>
      <c r="E40" s="332">
        <v>0</v>
      </c>
      <c r="F40" s="332">
        <v>0</v>
      </c>
      <c r="G40" s="331">
        <f t="shared" si="5"/>
        <v>0</v>
      </c>
      <c r="H40" s="914" t="str">
        <f t="shared" si="3"/>
        <v>n/a</v>
      </c>
      <c r="I40" s="332">
        <v>0</v>
      </c>
      <c r="J40" s="914" t="str">
        <f t="shared" si="6"/>
        <v>n/a</v>
      </c>
      <c r="K40" s="332">
        <v>0</v>
      </c>
      <c r="L40" s="914" t="str">
        <f t="shared" si="1"/>
        <v>n/a</v>
      </c>
      <c r="M40" s="330">
        <f t="shared" si="7"/>
        <v>0</v>
      </c>
      <c r="O40" s="785">
        <f>LOOKUP(C40,Cities!A$3:A$343,Cities!AA$3:AA$343)</f>
        <v>0</v>
      </c>
      <c r="P40" s="345"/>
      <c r="Q40" s="345"/>
      <c r="R40" s="345"/>
    </row>
    <row r="41" spans="1:18" s="67" customFormat="1" ht="18" customHeight="1" x14ac:dyDescent="0.2">
      <c r="A41" s="325">
        <v>30</v>
      </c>
      <c r="B41" s="318"/>
      <c r="C41" s="326">
        <v>1</v>
      </c>
      <c r="D41" s="327">
        <f>LOOKUP(C41,Cities!A$3:A$343,Cities!B$3:B$343)</f>
        <v>0</v>
      </c>
      <c r="E41" s="332">
        <v>0</v>
      </c>
      <c r="F41" s="332">
        <v>0</v>
      </c>
      <c r="G41" s="331">
        <f t="shared" si="5"/>
        <v>0</v>
      </c>
      <c r="H41" s="914" t="str">
        <f t="shared" si="3"/>
        <v>n/a</v>
      </c>
      <c r="I41" s="332">
        <v>0</v>
      </c>
      <c r="J41" s="914" t="str">
        <f t="shared" si="6"/>
        <v>n/a</v>
      </c>
      <c r="K41" s="332">
        <v>0</v>
      </c>
      <c r="L41" s="914" t="str">
        <f t="shared" si="1"/>
        <v>n/a</v>
      </c>
      <c r="M41" s="330">
        <f t="shared" si="7"/>
        <v>0</v>
      </c>
      <c r="O41" s="785">
        <f>LOOKUP(C41,Cities!A$3:A$343,Cities!AA$3:AA$343)</f>
        <v>0</v>
      </c>
      <c r="P41" s="345"/>
      <c r="Q41" s="345"/>
      <c r="R41" s="345"/>
    </row>
    <row r="42" spans="1:18" s="67" customFormat="1" ht="18" customHeight="1" x14ac:dyDescent="0.2">
      <c r="A42" s="325">
        <v>31</v>
      </c>
      <c r="B42" s="318"/>
      <c r="C42" s="326">
        <v>1</v>
      </c>
      <c r="D42" s="327">
        <f>LOOKUP(C42,Cities!A$3:A$343,Cities!B$3:B$343)</f>
        <v>0</v>
      </c>
      <c r="E42" s="332">
        <v>0</v>
      </c>
      <c r="F42" s="332">
        <v>0</v>
      </c>
      <c r="G42" s="331">
        <f t="shared" ref="G42:G51" si="8">+E42+F42</f>
        <v>0</v>
      </c>
      <c r="H42" s="914" t="str">
        <f t="shared" si="3"/>
        <v>n/a</v>
      </c>
      <c r="I42" s="332">
        <v>0</v>
      </c>
      <c r="J42" s="914" t="str">
        <f t="shared" ref="J42:J51" si="9">IF(K$6&gt;0,ROUND(I42/K$6,6),"n/a")</f>
        <v>n/a</v>
      </c>
      <c r="K42" s="332">
        <v>0</v>
      </c>
      <c r="L42" s="914" t="str">
        <f t="shared" si="1"/>
        <v>n/a</v>
      </c>
      <c r="M42" s="330">
        <f t="shared" ref="M42:M51" si="10">IF(G$8+K$6+K$8=0,0,ROUND((IF(H42="n/a",0,H42)+IF(J42="n/a",0,J42)+IF(L42="n/a",0,L42))/N$9,6))</f>
        <v>0</v>
      </c>
      <c r="O42" s="785">
        <f>LOOKUP(C42,Cities!A$3:A$343,Cities!AA$3:AA$343)</f>
        <v>0</v>
      </c>
      <c r="P42" s="345"/>
      <c r="Q42" s="345"/>
      <c r="R42" s="345"/>
    </row>
    <row r="43" spans="1:18" s="67" customFormat="1" ht="18" customHeight="1" x14ac:dyDescent="0.2">
      <c r="A43" s="325">
        <v>32</v>
      </c>
      <c r="B43" s="318"/>
      <c r="C43" s="326">
        <v>1</v>
      </c>
      <c r="D43" s="327">
        <f>LOOKUP(C43,Cities!A$3:A$343,Cities!B$3:B$343)</f>
        <v>0</v>
      </c>
      <c r="E43" s="332">
        <v>0</v>
      </c>
      <c r="F43" s="332">
        <v>0</v>
      </c>
      <c r="G43" s="331">
        <f t="shared" si="8"/>
        <v>0</v>
      </c>
      <c r="H43" s="914" t="str">
        <f t="shared" si="3"/>
        <v>n/a</v>
      </c>
      <c r="I43" s="332">
        <v>0</v>
      </c>
      <c r="J43" s="914" t="str">
        <f t="shared" si="9"/>
        <v>n/a</v>
      </c>
      <c r="K43" s="332">
        <v>0</v>
      </c>
      <c r="L43" s="914" t="str">
        <f t="shared" si="1"/>
        <v>n/a</v>
      </c>
      <c r="M43" s="330">
        <f t="shared" si="10"/>
        <v>0</v>
      </c>
      <c r="O43" s="785">
        <f>LOOKUP(C43,Cities!A$3:A$343,Cities!AA$3:AA$343)</f>
        <v>0</v>
      </c>
      <c r="P43" s="345"/>
      <c r="Q43" s="345"/>
      <c r="R43" s="345"/>
    </row>
    <row r="44" spans="1:18" s="67" customFormat="1" ht="18" customHeight="1" x14ac:dyDescent="0.2">
      <c r="A44" s="325">
        <v>33</v>
      </c>
      <c r="B44" s="318"/>
      <c r="C44" s="326">
        <v>1</v>
      </c>
      <c r="D44" s="327">
        <f>LOOKUP(C44,Cities!A$3:A$343,Cities!B$3:B$343)</f>
        <v>0</v>
      </c>
      <c r="E44" s="332">
        <v>0</v>
      </c>
      <c r="F44" s="332">
        <v>0</v>
      </c>
      <c r="G44" s="331">
        <f t="shared" si="8"/>
        <v>0</v>
      </c>
      <c r="H44" s="914" t="str">
        <f t="shared" si="3"/>
        <v>n/a</v>
      </c>
      <c r="I44" s="332">
        <v>0</v>
      </c>
      <c r="J44" s="914" t="str">
        <f t="shared" si="9"/>
        <v>n/a</v>
      </c>
      <c r="K44" s="332">
        <v>0</v>
      </c>
      <c r="L44" s="914" t="str">
        <f t="shared" si="1"/>
        <v>n/a</v>
      </c>
      <c r="M44" s="330">
        <f t="shared" si="10"/>
        <v>0</v>
      </c>
      <c r="O44" s="785">
        <f>LOOKUP(C44,Cities!A$3:A$343,Cities!AA$3:AA$343)</f>
        <v>0</v>
      </c>
      <c r="P44" s="345"/>
      <c r="Q44" s="345"/>
      <c r="R44" s="345"/>
    </row>
    <row r="45" spans="1:18" s="67" customFormat="1" ht="18" customHeight="1" x14ac:dyDescent="0.2">
      <c r="A45" s="325">
        <v>34</v>
      </c>
      <c r="B45" s="318"/>
      <c r="C45" s="326">
        <v>1</v>
      </c>
      <c r="D45" s="327">
        <f>LOOKUP(C45,Cities!A$3:A$343,Cities!B$3:B$343)</f>
        <v>0</v>
      </c>
      <c r="E45" s="332">
        <v>0</v>
      </c>
      <c r="F45" s="332">
        <v>0</v>
      </c>
      <c r="G45" s="331">
        <f t="shared" si="8"/>
        <v>0</v>
      </c>
      <c r="H45" s="914" t="str">
        <f t="shared" si="3"/>
        <v>n/a</v>
      </c>
      <c r="I45" s="332">
        <v>0</v>
      </c>
      <c r="J45" s="914" t="str">
        <f t="shared" si="9"/>
        <v>n/a</v>
      </c>
      <c r="K45" s="332">
        <v>0</v>
      </c>
      <c r="L45" s="914" t="str">
        <f t="shared" si="1"/>
        <v>n/a</v>
      </c>
      <c r="M45" s="330">
        <f t="shared" si="10"/>
        <v>0</v>
      </c>
      <c r="O45" s="785">
        <f>LOOKUP(C45,Cities!A$3:A$343,Cities!AA$3:AA$343)</f>
        <v>0</v>
      </c>
      <c r="P45" s="345"/>
      <c r="Q45" s="345"/>
      <c r="R45" s="345"/>
    </row>
    <row r="46" spans="1:18" s="67" customFormat="1" ht="18" customHeight="1" x14ac:dyDescent="0.2">
      <c r="A46" s="325">
        <v>35</v>
      </c>
      <c r="B46" s="318"/>
      <c r="C46" s="326">
        <v>1</v>
      </c>
      <c r="D46" s="327">
        <f>LOOKUP(C46,Cities!A$3:A$343,Cities!B$3:B$343)</f>
        <v>0</v>
      </c>
      <c r="E46" s="332">
        <v>0</v>
      </c>
      <c r="F46" s="332">
        <v>0</v>
      </c>
      <c r="G46" s="331">
        <f t="shared" si="8"/>
        <v>0</v>
      </c>
      <c r="H46" s="914" t="str">
        <f t="shared" si="3"/>
        <v>n/a</v>
      </c>
      <c r="I46" s="332">
        <v>0</v>
      </c>
      <c r="J46" s="914" t="str">
        <f t="shared" si="9"/>
        <v>n/a</v>
      </c>
      <c r="K46" s="332">
        <v>0</v>
      </c>
      <c r="L46" s="914" t="str">
        <f t="shared" si="1"/>
        <v>n/a</v>
      </c>
      <c r="M46" s="330">
        <f t="shared" si="10"/>
        <v>0</v>
      </c>
      <c r="O46" s="785">
        <f>LOOKUP(C46,Cities!A$3:A$343,Cities!AA$3:AA$343)</f>
        <v>0</v>
      </c>
      <c r="P46" s="345"/>
      <c r="Q46" s="345"/>
      <c r="R46" s="345"/>
    </row>
    <row r="47" spans="1:18" s="67" customFormat="1" ht="18" customHeight="1" x14ac:dyDescent="0.2">
      <c r="A47" s="325">
        <v>36</v>
      </c>
      <c r="B47" s="318"/>
      <c r="C47" s="326">
        <v>1</v>
      </c>
      <c r="D47" s="327">
        <f>LOOKUP(C47,Cities!A$3:A$343,Cities!B$3:B$343)</f>
        <v>0</v>
      </c>
      <c r="E47" s="332">
        <v>0</v>
      </c>
      <c r="F47" s="332">
        <v>0</v>
      </c>
      <c r="G47" s="331">
        <f t="shared" si="8"/>
        <v>0</v>
      </c>
      <c r="H47" s="914" t="str">
        <f t="shared" si="3"/>
        <v>n/a</v>
      </c>
      <c r="I47" s="332">
        <v>0</v>
      </c>
      <c r="J47" s="914" t="str">
        <f t="shared" si="9"/>
        <v>n/a</v>
      </c>
      <c r="K47" s="332">
        <v>0</v>
      </c>
      <c r="L47" s="914" t="str">
        <f t="shared" si="1"/>
        <v>n/a</v>
      </c>
      <c r="M47" s="330">
        <f t="shared" si="10"/>
        <v>0</v>
      </c>
      <c r="O47" s="785">
        <f>LOOKUP(C47,Cities!A$3:A$343,Cities!AA$3:AA$343)</f>
        <v>0</v>
      </c>
      <c r="P47" s="345"/>
      <c r="Q47" s="345"/>
      <c r="R47" s="345"/>
    </row>
    <row r="48" spans="1:18" s="67" customFormat="1" ht="18" customHeight="1" x14ac:dyDescent="0.2">
      <c r="A48" s="325">
        <v>37</v>
      </c>
      <c r="B48" s="318"/>
      <c r="C48" s="326">
        <v>1</v>
      </c>
      <c r="D48" s="327">
        <f>LOOKUP(C48,Cities!A$3:A$343,Cities!B$3:B$343)</f>
        <v>0</v>
      </c>
      <c r="E48" s="332">
        <v>0</v>
      </c>
      <c r="F48" s="332">
        <v>0</v>
      </c>
      <c r="G48" s="331">
        <f t="shared" si="8"/>
        <v>0</v>
      </c>
      <c r="H48" s="914" t="str">
        <f t="shared" si="3"/>
        <v>n/a</v>
      </c>
      <c r="I48" s="332">
        <v>0</v>
      </c>
      <c r="J48" s="914" t="str">
        <f t="shared" si="9"/>
        <v>n/a</v>
      </c>
      <c r="K48" s="332">
        <v>0</v>
      </c>
      <c r="L48" s="914" t="str">
        <f t="shared" si="1"/>
        <v>n/a</v>
      </c>
      <c r="M48" s="330">
        <f t="shared" si="10"/>
        <v>0</v>
      </c>
      <c r="O48" s="785">
        <f>LOOKUP(C48,Cities!A$3:A$343,Cities!AA$3:AA$343)</f>
        <v>0</v>
      </c>
      <c r="P48" s="345"/>
      <c r="Q48" s="345"/>
      <c r="R48" s="345"/>
    </row>
    <row r="49" spans="1:18" s="67" customFormat="1" ht="18" customHeight="1" x14ac:dyDescent="0.2">
      <c r="A49" s="325">
        <v>38</v>
      </c>
      <c r="B49" s="318"/>
      <c r="C49" s="326">
        <v>1</v>
      </c>
      <c r="D49" s="327">
        <f>LOOKUP(C49,Cities!A$3:A$343,Cities!B$3:B$343)</f>
        <v>0</v>
      </c>
      <c r="E49" s="332">
        <v>0</v>
      </c>
      <c r="F49" s="332">
        <v>0</v>
      </c>
      <c r="G49" s="331">
        <f t="shared" si="8"/>
        <v>0</v>
      </c>
      <c r="H49" s="914" t="str">
        <f t="shared" si="3"/>
        <v>n/a</v>
      </c>
      <c r="I49" s="332">
        <v>0</v>
      </c>
      <c r="J49" s="914" t="str">
        <f t="shared" si="9"/>
        <v>n/a</v>
      </c>
      <c r="K49" s="332">
        <v>0</v>
      </c>
      <c r="L49" s="914" t="str">
        <f t="shared" si="1"/>
        <v>n/a</v>
      </c>
      <c r="M49" s="330">
        <f t="shared" si="10"/>
        <v>0</v>
      </c>
      <c r="O49" s="785">
        <f>LOOKUP(C49,Cities!A$3:A$343,Cities!AA$3:AA$343)</f>
        <v>0</v>
      </c>
      <c r="P49" s="345"/>
      <c r="Q49" s="345"/>
      <c r="R49" s="345"/>
    </row>
    <row r="50" spans="1:18" s="67" customFormat="1" ht="18" customHeight="1" x14ac:dyDescent="0.2">
      <c r="A50" s="325">
        <v>39</v>
      </c>
      <c r="B50" s="318"/>
      <c r="C50" s="326">
        <v>1</v>
      </c>
      <c r="D50" s="327">
        <f>LOOKUP(C50,Cities!A$3:A$343,Cities!B$3:B$343)</f>
        <v>0</v>
      </c>
      <c r="E50" s="332">
        <v>0</v>
      </c>
      <c r="F50" s="332">
        <v>0</v>
      </c>
      <c r="G50" s="331">
        <f t="shared" si="8"/>
        <v>0</v>
      </c>
      <c r="H50" s="914" t="str">
        <f t="shared" si="3"/>
        <v>n/a</v>
      </c>
      <c r="I50" s="332">
        <v>0</v>
      </c>
      <c r="J50" s="914" t="str">
        <f t="shared" si="9"/>
        <v>n/a</v>
      </c>
      <c r="K50" s="332">
        <v>0</v>
      </c>
      <c r="L50" s="914" t="str">
        <f t="shared" si="1"/>
        <v>n/a</v>
      </c>
      <c r="M50" s="330">
        <f t="shared" si="10"/>
        <v>0</v>
      </c>
      <c r="O50" s="785">
        <f>LOOKUP(C50,Cities!A$3:A$343,Cities!AA$3:AA$343)</f>
        <v>0</v>
      </c>
      <c r="P50" s="345"/>
      <c r="Q50" s="345"/>
      <c r="R50" s="345"/>
    </row>
    <row r="51" spans="1:18" s="67" customFormat="1" ht="18" customHeight="1" x14ac:dyDescent="0.2">
      <c r="A51" s="325">
        <v>40</v>
      </c>
      <c r="B51" s="318"/>
      <c r="C51" s="326">
        <v>1</v>
      </c>
      <c r="D51" s="327">
        <f>LOOKUP(C51,Cities!A$3:A$343,Cities!B$3:B$343)</f>
        <v>0</v>
      </c>
      <c r="E51" s="332">
        <v>0</v>
      </c>
      <c r="F51" s="332">
        <v>0</v>
      </c>
      <c r="G51" s="331">
        <f t="shared" si="8"/>
        <v>0</v>
      </c>
      <c r="H51" s="914" t="str">
        <f t="shared" si="3"/>
        <v>n/a</v>
      </c>
      <c r="I51" s="332">
        <v>0</v>
      </c>
      <c r="J51" s="914" t="str">
        <f t="shared" si="9"/>
        <v>n/a</v>
      </c>
      <c r="K51" s="332">
        <v>0</v>
      </c>
      <c r="L51" s="914" t="str">
        <f t="shared" si="1"/>
        <v>n/a</v>
      </c>
      <c r="M51" s="330">
        <f t="shared" si="10"/>
        <v>0</v>
      </c>
      <c r="O51" s="785">
        <f>LOOKUP(C51,Cities!A$3:A$343,Cities!AA$3:AA$343)</f>
        <v>0</v>
      </c>
      <c r="P51" s="345"/>
      <c r="Q51" s="345"/>
      <c r="R51" s="345"/>
    </row>
    <row r="52" spans="1:18" s="67" customFormat="1" ht="18" customHeight="1" x14ac:dyDescent="0.2">
      <c r="A52" s="325">
        <v>41</v>
      </c>
      <c r="B52" s="318"/>
      <c r="C52" s="326">
        <v>1</v>
      </c>
      <c r="D52" s="327">
        <f>LOOKUP(C52,Cities!A$3:A$343,Cities!B$3:B$343)</f>
        <v>0</v>
      </c>
      <c r="E52" s="332">
        <v>0</v>
      </c>
      <c r="F52" s="332">
        <v>0</v>
      </c>
      <c r="G52" s="331">
        <f>+E52+F52</f>
        <v>0</v>
      </c>
      <c r="H52" s="914" t="str">
        <f t="shared" si="3"/>
        <v>n/a</v>
      </c>
      <c r="I52" s="332">
        <v>0</v>
      </c>
      <c r="J52" s="914" t="str">
        <f>IF(K$6&gt;0,ROUND(I52/K$6,6),"n/a")</f>
        <v>n/a</v>
      </c>
      <c r="K52" s="332">
        <v>0</v>
      </c>
      <c r="L52" s="914" t="str">
        <f t="shared" si="1"/>
        <v>n/a</v>
      </c>
      <c r="M52" s="330">
        <f>IF(G$8+K$6+K$8=0,0,ROUND((IF(H52="n/a",0,H52)+IF(J52="n/a",0,J52)+IF(L52="n/a",0,L52))/N$9,6))</f>
        <v>0</v>
      </c>
      <c r="O52" s="785">
        <f>LOOKUP(C52,Cities!A$3:A$343,Cities!AA$3:AA$343)</f>
        <v>0</v>
      </c>
      <c r="P52" s="345"/>
      <c r="Q52" s="345"/>
      <c r="R52" s="345"/>
    </row>
    <row r="53" spans="1:18" s="67" customFormat="1" ht="18" customHeight="1" x14ac:dyDescent="0.2">
      <c r="A53" s="325">
        <v>42</v>
      </c>
      <c r="B53" s="318"/>
      <c r="C53" s="326">
        <v>1</v>
      </c>
      <c r="D53" s="327">
        <f>LOOKUP(C53,Cities!A$3:A$343,Cities!B$3:B$343)</f>
        <v>0</v>
      </c>
      <c r="E53" s="332">
        <v>0</v>
      </c>
      <c r="F53" s="332">
        <v>0</v>
      </c>
      <c r="G53" s="331">
        <f>+E53+F53</f>
        <v>0</v>
      </c>
      <c r="H53" s="914" t="str">
        <f t="shared" si="3"/>
        <v>n/a</v>
      </c>
      <c r="I53" s="332">
        <v>0</v>
      </c>
      <c r="J53" s="914" t="str">
        <f>IF(K$6&gt;0,ROUND(I53/K$6,6),"n/a")</f>
        <v>n/a</v>
      </c>
      <c r="K53" s="332">
        <v>0</v>
      </c>
      <c r="L53" s="914" t="str">
        <f t="shared" si="1"/>
        <v>n/a</v>
      </c>
      <c r="M53" s="330">
        <f>IF(G$8+K$6+K$8=0,0,ROUND((IF(H53="n/a",0,H53)+IF(J53="n/a",0,J53)+IF(L53="n/a",0,L53))/N$9,6))</f>
        <v>0</v>
      </c>
      <c r="O53" s="785">
        <f>LOOKUP(C53,Cities!A$3:A$343,Cities!AA$3:AA$343)</f>
        <v>0</v>
      </c>
      <c r="P53" s="345"/>
      <c r="Q53" s="345"/>
      <c r="R53" s="345"/>
    </row>
    <row r="54" spans="1:18" s="67" customFormat="1" ht="18" customHeight="1" x14ac:dyDescent="0.2">
      <c r="A54" s="325">
        <v>43</v>
      </c>
      <c r="B54" s="318"/>
      <c r="C54" s="326">
        <v>1</v>
      </c>
      <c r="D54" s="327">
        <f>LOOKUP(C54,Cities!A$3:A$343,Cities!B$3:B$343)</f>
        <v>0</v>
      </c>
      <c r="E54" s="332">
        <v>0</v>
      </c>
      <c r="F54" s="332">
        <v>0</v>
      </c>
      <c r="G54" s="331">
        <f>+E54+F54</f>
        <v>0</v>
      </c>
      <c r="H54" s="914" t="str">
        <f t="shared" si="3"/>
        <v>n/a</v>
      </c>
      <c r="I54" s="332">
        <v>0</v>
      </c>
      <c r="J54" s="914" t="str">
        <f>IF(K$6&gt;0,ROUND(I54/K$6,6),"n/a")</f>
        <v>n/a</v>
      </c>
      <c r="K54" s="332">
        <v>0</v>
      </c>
      <c r="L54" s="914" t="str">
        <f t="shared" si="1"/>
        <v>n/a</v>
      </c>
      <c r="M54" s="330">
        <f>IF(G$8+K$6+K$8=0,0,ROUND((IF(H54="n/a",0,H54)+IF(J54="n/a",0,J54)+IF(L54="n/a",0,L54))/N$9,6))</f>
        <v>0</v>
      </c>
      <c r="O54" s="785">
        <f>LOOKUP(C54,Cities!A$3:A$343,Cities!AA$3:AA$343)</f>
        <v>0</v>
      </c>
      <c r="P54" s="345"/>
      <c r="Q54" s="345"/>
      <c r="R54" s="345"/>
    </row>
    <row r="55" spans="1:18" s="67" customFormat="1" ht="18" customHeight="1" x14ac:dyDescent="0.2">
      <c r="A55" s="325">
        <v>44</v>
      </c>
      <c r="B55" s="318"/>
      <c r="C55" s="326">
        <v>1</v>
      </c>
      <c r="D55" s="327">
        <f>LOOKUP(C55,Cities!A$3:A$343,Cities!B$3:B$343)</f>
        <v>0</v>
      </c>
      <c r="E55" s="332">
        <v>0</v>
      </c>
      <c r="F55" s="332">
        <v>0</v>
      </c>
      <c r="G55" s="331">
        <f>+E55+F55</f>
        <v>0</v>
      </c>
      <c r="H55" s="914" t="str">
        <f t="shared" si="3"/>
        <v>n/a</v>
      </c>
      <c r="I55" s="332">
        <v>0</v>
      </c>
      <c r="J55" s="914" t="str">
        <f>IF(K$6&gt;0,ROUND(I55/K$6,6),"n/a")</f>
        <v>n/a</v>
      </c>
      <c r="K55" s="332">
        <v>0</v>
      </c>
      <c r="L55" s="914" t="str">
        <f t="shared" si="1"/>
        <v>n/a</v>
      </c>
      <c r="M55" s="330">
        <f>IF(G$8+K$6+K$8=0,0,ROUND((IF(H55="n/a",0,H55)+IF(J55="n/a",0,J55)+IF(L55="n/a",0,L55))/N$9,6))</f>
        <v>0</v>
      </c>
      <c r="O55" s="785">
        <f>LOOKUP(C55,Cities!A$3:A$343,Cities!AA$3:AA$343)</f>
        <v>0</v>
      </c>
      <c r="P55" s="345"/>
      <c r="Q55" s="345"/>
      <c r="R55" s="345"/>
    </row>
    <row r="56" spans="1:18" s="67" customFormat="1" ht="18" customHeight="1" thickBot="1" x14ac:dyDescent="0.25">
      <c r="A56" s="325">
        <v>45</v>
      </c>
      <c r="B56" s="318"/>
      <c r="C56" s="326">
        <v>1</v>
      </c>
      <c r="D56" s="327">
        <f>LOOKUP(C56,Cities!A$3:A$343,Cities!B$3:B$343)</f>
        <v>0</v>
      </c>
      <c r="E56" s="332">
        <v>0</v>
      </c>
      <c r="F56" s="332">
        <v>0</v>
      </c>
      <c r="G56" s="331">
        <f>+E56+F56</f>
        <v>0</v>
      </c>
      <c r="H56" s="914" t="str">
        <f t="shared" si="3"/>
        <v>n/a</v>
      </c>
      <c r="I56" s="332">
        <v>0</v>
      </c>
      <c r="J56" s="914" t="str">
        <f>IF(K$6&gt;0,ROUND(I56/K$6,6),"n/a")</f>
        <v>n/a</v>
      </c>
      <c r="K56" s="332">
        <v>0</v>
      </c>
      <c r="L56" s="914" t="str">
        <f t="shared" si="1"/>
        <v>n/a</v>
      </c>
      <c r="M56" s="601">
        <f>IF(G$8+K$6+K$8=0,0,ROUND((IF(H56="n/a",0,H56)+IF(J56="n/a",0,J56)+IF(L56="n/a",0,L56))/N$9,6))</f>
        <v>0</v>
      </c>
      <c r="O56" s="785">
        <f>LOOKUP(C56,Cities!A$3:A$343,Cities!AA$3:AA$343)</f>
        <v>0</v>
      </c>
      <c r="P56" s="345"/>
      <c r="Q56" s="345"/>
      <c r="R56" s="345"/>
    </row>
    <row r="57" spans="1:18" s="67" customFormat="1" ht="18" customHeight="1" x14ac:dyDescent="0.2">
      <c r="M57" s="341">
        <f>SUM(M12:M56)</f>
        <v>0</v>
      </c>
      <c r="O57" s="345"/>
      <c r="P57" s="345"/>
      <c r="Q57" s="345"/>
      <c r="R57" s="345"/>
    </row>
    <row r="58" spans="1:18" s="67" customFormat="1" x14ac:dyDescent="0.2">
      <c r="B58" s="851"/>
      <c r="K58" s="1559" t="s">
        <v>1669</v>
      </c>
      <c r="P58" s="171"/>
      <c r="Q58" s="345"/>
      <c r="R58" s="345"/>
    </row>
    <row r="59" spans="1:18" s="1" customFormat="1" ht="22.5" customHeight="1" x14ac:dyDescent="0.4">
      <c r="A59" s="1372" t="s">
        <v>372</v>
      </c>
      <c r="B59" s="1540"/>
      <c r="C59" s="216"/>
      <c r="D59" s="1541" t="s">
        <v>373</v>
      </c>
      <c r="E59" s="1338"/>
      <c r="F59" s="1338"/>
      <c r="G59" s="1338"/>
      <c r="H59" s="1338"/>
      <c r="I59" s="1338"/>
      <c r="J59" s="1338"/>
      <c r="K59" s="1560"/>
      <c r="L59" s="1380">
        <f>+L1</f>
        <v>2018</v>
      </c>
      <c r="M59" s="1381"/>
      <c r="P59" s="171"/>
      <c r="Q59" s="344"/>
      <c r="R59" s="344"/>
    </row>
    <row r="60" spans="1:18" s="1" customFormat="1" ht="14.25" customHeight="1" x14ac:dyDescent="0.2">
      <c r="A60" s="1545" t="s">
        <v>159</v>
      </c>
      <c r="B60" s="1546"/>
      <c r="C60" s="217"/>
      <c r="D60" s="1557"/>
      <c r="E60" s="1558"/>
      <c r="F60" s="1558"/>
      <c r="G60" s="1558"/>
      <c r="H60" s="1558"/>
      <c r="I60" s="1558"/>
      <c r="J60" s="1558"/>
      <c r="K60" s="751"/>
      <c r="L60" s="1382" t="str">
        <f>+'Complete This Page'!J1</f>
        <v>NPAC v2018.0</v>
      </c>
      <c r="M60" s="1383"/>
      <c r="N60" s="754"/>
      <c r="P60" s="785" t="b">
        <v>0</v>
      </c>
      <c r="Q60" s="344"/>
      <c r="R60" s="344"/>
    </row>
    <row r="61" spans="1:18" s="1" customFormat="1" ht="12.75" customHeight="1" x14ac:dyDescent="0.2">
      <c r="A61" s="1" t="s">
        <v>467</v>
      </c>
      <c r="B61" s="61"/>
      <c r="C61" s="61"/>
      <c r="D61" s="61"/>
      <c r="E61" s="61"/>
      <c r="F61" s="61"/>
      <c r="G61" s="61"/>
      <c r="H61" s="61"/>
      <c r="I61" s="199"/>
      <c r="J61" s="334"/>
      <c r="K61" s="335" t="s">
        <v>466</v>
      </c>
      <c r="O61" s="787"/>
      <c r="P61" s="344"/>
      <c r="Q61" s="344"/>
      <c r="R61" s="344"/>
    </row>
    <row r="62" spans="1:18" s="1" customFormat="1" ht="18" x14ac:dyDescent="0.25">
      <c r="A62" s="25"/>
      <c r="B62" s="1377">
        <f>+B4</f>
        <v>0</v>
      </c>
      <c r="C62" s="1377"/>
      <c r="D62" s="1377"/>
      <c r="E62" s="1377"/>
      <c r="F62" s="1377"/>
      <c r="G62" s="1377"/>
      <c r="H62" s="1377"/>
      <c r="I62" s="1377"/>
      <c r="J62" s="1378"/>
      <c r="K62" s="1350">
        <f>+K4</f>
        <v>0</v>
      </c>
      <c r="L62" s="1351"/>
      <c r="M62" s="1351"/>
      <c r="N62" s="754"/>
      <c r="O62" s="291"/>
      <c r="P62" s="788" t="b">
        <v>0</v>
      </c>
      <c r="Q62" s="344"/>
      <c r="R62" s="344"/>
    </row>
    <row r="63" spans="1:18" x14ac:dyDescent="0.2">
      <c r="A63" s="328"/>
      <c r="O63" s="786"/>
      <c r="P63" s="171"/>
      <c r="Q63" s="171"/>
      <c r="R63" s="171"/>
    </row>
    <row r="64" spans="1:18" ht="47.25" customHeight="1" x14ac:dyDescent="0.2">
      <c r="B64" s="322"/>
      <c r="C64" s="1"/>
      <c r="D64" s="1547" t="s">
        <v>588</v>
      </c>
      <c r="E64" s="1547" t="s">
        <v>1684</v>
      </c>
      <c r="F64" s="1547" t="s">
        <v>1690</v>
      </c>
      <c r="G64" s="1553" t="s">
        <v>1685</v>
      </c>
      <c r="H64" s="1554"/>
      <c r="I64" s="1553" t="s">
        <v>1744</v>
      </c>
      <c r="J64" s="1554"/>
      <c r="K64" s="21"/>
      <c r="L64" s="1539"/>
      <c r="M64" s="1123"/>
      <c r="Q64" s="171"/>
      <c r="R64" s="171"/>
    </row>
    <row r="65" spans="1:18" x14ac:dyDescent="0.2">
      <c r="B65" s="323" t="s">
        <v>618</v>
      </c>
      <c r="C65" s="324" t="s">
        <v>164</v>
      </c>
      <c r="D65" s="1548"/>
      <c r="E65" s="1552"/>
      <c r="F65" s="1552"/>
      <c r="G65" s="1555"/>
      <c r="H65" s="1556"/>
      <c r="I65" s="1555"/>
      <c r="J65" s="1556"/>
      <c r="K65" s="22" t="s">
        <v>561</v>
      </c>
      <c r="L65" s="1064" t="s">
        <v>562</v>
      </c>
      <c r="M65" s="1549"/>
      <c r="Q65" s="171"/>
      <c r="R65" s="171"/>
    </row>
    <row r="66" spans="1:18" ht="15" x14ac:dyDescent="0.2">
      <c r="A66" s="325">
        <v>1</v>
      </c>
      <c r="B66" s="336" t="str">
        <f>IF(C66=1,"",LOOKUP(C66,Cities!A$3:A$343,Cities!C$3:C$343))</f>
        <v/>
      </c>
      <c r="C66" s="338">
        <f>+C12</f>
        <v>1</v>
      </c>
      <c r="D66" s="337">
        <f>+D12</f>
        <v>0</v>
      </c>
      <c r="E66" s="812">
        <f>ROUND('Print Return'!$L$37*Overflow!M12,0)</f>
        <v>0</v>
      </c>
      <c r="F66" s="955"/>
      <c r="G66" s="1524"/>
      <c r="H66" s="1524"/>
      <c r="I66" s="1525">
        <f>IF(Data!D$33=TRUE,'Overflows Worksheet'!K4,'Overflows Worksheet'!T4)</f>
        <v>0</v>
      </c>
      <c r="J66" s="1525"/>
      <c r="K66" s="853">
        <f>LOOKUP(C12,Cities!A$3:A$343,Cities!D$3:D$343)</f>
        <v>0</v>
      </c>
      <c r="L66" s="1522">
        <f>IF(AND(I66&gt;0,OR(I66*K66&gt;10,$L$1&lt;2016)),ROUND(I66*K66,0),0)</f>
        <v>0</v>
      </c>
      <c r="M66" s="1523"/>
      <c r="N66" s="339">
        <f>LOOKUP($C12,Cities!$A$3:$A$356,Cities!$V$3:$V$356)</f>
        <v>0</v>
      </c>
      <c r="O66" s="936" t="str">
        <f>IF(AND(ISNUMBER($L$1)=TRUE,ISNUMBER(O12)=TRUE,O12&gt;=$L$1-5), CONCATENATE("Last 0% tax rate year ", O12),"")</f>
        <v/>
      </c>
      <c r="Q66" s="785">
        <f>IF(P60=FALSE,F66,0)</f>
        <v>0</v>
      </c>
      <c r="R66" s="171"/>
    </row>
    <row r="67" spans="1:18" ht="15" x14ac:dyDescent="0.2">
      <c r="A67" s="325">
        <v>2</v>
      </c>
      <c r="B67" s="336" t="str">
        <f>IF(C67=1,"",LOOKUP(C67,Cities!A$3:A$343,Cities!C$3:C$343))</f>
        <v/>
      </c>
      <c r="C67" s="338">
        <f t="shared" ref="C67:C110" si="11">+C13</f>
        <v>1</v>
      </c>
      <c r="D67" s="337">
        <f t="shared" ref="D67:D110" si="12">+D13</f>
        <v>0</v>
      </c>
      <c r="E67" s="812">
        <f>ROUND('Print Return'!$L$37*Overflow!M13,0)</f>
        <v>0</v>
      </c>
      <c r="F67" s="955"/>
      <c r="G67" s="1524"/>
      <c r="H67" s="1524"/>
      <c r="I67" s="1525">
        <f>IF(Data!D$33=TRUE,'Overflows Worksheet'!K5,'Overflows Worksheet'!T5)</f>
        <v>0</v>
      </c>
      <c r="J67" s="1525"/>
      <c r="K67" s="853">
        <f>LOOKUP(C13,Cities!A$3:A$343,Cities!D$3:D$343)</f>
        <v>0</v>
      </c>
      <c r="L67" s="1522">
        <f t="shared" ref="L67:L110" si="13">IF(AND(I67&gt;0,OR(I67*K67&gt;10,$L$1&lt;2016)),ROUND(I67*K67,0),0)</f>
        <v>0</v>
      </c>
      <c r="M67" s="1523"/>
      <c r="N67" s="339">
        <f>LOOKUP($C13,Cities!$A$3:$A$356,Cities!$V$3:$V$356)</f>
        <v>0</v>
      </c>
      <c r="O67" s="936" t="str">
        <f t="shared" ref="O67:O110" si="14">IF(AND(ISNUMBER($L$1)=TRUE,ISNUMBER(O13)=TRUE,O13&gt;=$L$1-5), CONCATENATE("Last 0% tax rate year ", O13),"")</f>
        <v/>
      </c>
      <c r="Q67" s="785">
        <f t="shared" ref="Q67:Q110" si="15">IF(P67=FALSE,F67,0)</f>
        <v>0</v>
      </c>
      <c r="R67" s="171"/>
    </row>
    <row r="68" spans="1:18" ht="15" x14ac:dyDescent="0.2">
      <c r="A68" s="325">
        <v>3</v>
      </c>
      <c r="B68" s="336" t="str">
        <f>IF(C68=1,"",LOOKUP(C68,Cities!A$3:A$343,Cities!C$3:C$343))</f>
        <v/>
      </c>
      <c r="C68" s="338">
        <f t="shared" si="11"/>
        <v>1</v>
      </c>
      <c r="D68" s="337">
        <f t="shared" si="12"/>
        <v>0</v>
      </c>
      <c r="E68" s="812">
        <f>ROUND('Print Return'!$L$37*Overflow!M14,0)</f>
        <v>0</v>
      </c>
      <c r="F68" s="955"/>
      <c r="G68" s="1524"/>
      <c r="H68" s="1524"/>
      <c r="I68" s="1525">
        <f>IF(Data!D$33=TRUE,'Overflows Worksheet'!K6,'Overflows Worksheet'!T6)</f>
        <v>0</v>
      </c>
      <c r="J68" s="1525"/>
      <c r="K68" s="853">
        <f>LOOKUP(C14,Cities!A$3:A$343,Cities!D$3:D$343)</f>
        <v>0</v>
      </c>
      <c r="L68" s="1522">
        <f t="shared" si="13"/>
        <v>0</v>
      </c>
      <c r="M68" s="1523"/>
      <c r="N68" s="339">
        <f>LOOKUP($C14,Cities!$A$3:$A$356,Cities!$V$3:$V$356)</f>
        <v>0</v>
      </c>
      <c r="O68" s="936" t="str">
        <f t="shared" si="14"/>
        <v/>
      </c>
      <c r="Q68" s="785">
        <f t="shared" si="15"/>
        <v>0</v>
      </c>
      <c r="R68" s="171"/>
    </row>
    <row r="69" spans="1:18" ht="15" x14ac:dyDescent="0.2">
      <c r="A69" s="325">
        <v>4</v>
      </c>
      <c r="B69" s="336" t="str">
        <f>IF(C69=1,"",LOOKUP(C69,Cities!A$3:A$343,Cities!C$3:C$343))</f>
        <v/>
      </c>
      <c r="C69" s="338">
        <f t="shared" si="11"/>
        <v>1</v>
      </c>
      <c r="D69" s="337">
        <f t="shared" si="12"/>
        <v>0</v>
      </c>
      <c r="E69" s="812">
        <f>ROUND('Print Return'!$L$37*Overflow!M15,0)</f>
        <v>0</v>
      </c>
      <c r="F69" s="955"/>
      <c r="G69" s="1524"/>
      <c r="H69" s="1524"/>
      <c r="I69" s="1525">
        <f>IF(Data!D$33=TRUE,'Overflows Worksheet'!K7,'Overflows Worksheet'!T7)</f>
        <v>0</v>
      </c>
      <c r="J69" s="1525"/>
      <c r="K69" s="853">
        <f>LOOKUP(C15,Cities!A$3:A$343,Cities!D$3:D$343)</f>
        <v>0</v>
      </c>
      <c r="L69" s="1522">
        <f t="shared" si="13"/>
        <v>0</v>
      </c>
      <c r="M69" s="1523"/>
      <c r="N69" s="339">
        <f>LOOKUP($C15,Cities!$A$3:$A$356,Cities!$V$3:$V$356)</f>
        <v>0</v>
      </c>
      <c r="O69" s="936" t="str">
        <f t="shared" si="14"/>
        <v/>
      </c>
      <c r="Q69" s="785">
        <f t="shared" si="15"/>
        <v>0</v>
      </c>
      <c r="R69" s="171"/>
    </row>
    <row r="70" spans="1:18" ht="15" x14ac:dyDescent="0.2">
      <c r="A70" s="325">
        <v>5</v>
      </c>
      <c r="B70" s="336" t="str">
        <f>IF(C70=1,"",LOOKUP(C70,Cities!A$3:A$343,Cities!C$3:C$343))</f>
        <v/>
      </c>
      <c r="C70" s="338">
        <f t="shared" si="11"/>
        <v>1</v>
      </c>
      <c r="D70" s="337">
        <f t="shared" si="12"/>
        <v>0</v>
      </c>
      <c r="E70" s="812">
        <f>ROUND('Print Return'!$L$37*Overflow!M16,0)</f>
        <v>0</v>
      </c>
      <c r="F70" s="955"/>
      <c r="G70" s="1524"/>
      <c r="H70" s="1524"/>
      <c r="I70" s="1525">
        <f>IF(Data!D$33=TRUE,'Overflows Worksheet'!K8,'Overflows Worksheet'!T8)</f>
        <v>0</v>
      </c>
      <c r="J70" s="1525"/>
      <c r="K70" s="853">
        <f>LOOKUP(C16,Cities!A$3:A$343,Cities!D$3:D$343)</f>
        <v>0</v>
      </c>
      <c r="L70" s="1522">
        <f t="shared" si="13"/>
        <v>0</v>
      </c>
      <c r="M70" s="1523"/>
      <c r="N70" s="339">
        <f>LOOKUP($C16,Cities!$A$3:$A$356,Cities!$V$3:$V$356)</f>
        <v>0</v>
      </c>
      <c r="O70" s="936" t="str">
        <f t="shared" si="14"/>
        <v/>
      </c>
      <c r="Q70" s="785">
        <f t="shared" si="15"/>
        <v>0</v>
      </c>
      <c r="R70" s="171"/>
    </row>
    <row r="71" spans="1:18" ht="15" x14ac:dyDescent="0.2">
      <c r="A71" s="325">
        <v>6</v>
      </c>
      <c r="B71" s="336" t="str">
        <f>IF(C71=1,"",LOOKUP(C71,Cities!A$3:A$343,Cities!C$3:C$343))</f>
        <v/>
      </c>
      <c r="C71" s="338">
        <f t="shared" si="11"/>
        <v>1</v>
      </c>
      <c r="D71" s="337">
        <f t="shared" si="12"/>
        <v>0</v>
      </c>
      <c r="E71" s="812">
        <f>ROUND('Print Return'!$L$37*Overflow!M17,0)</f>
        <v>0</v>
      </c>
      <c r="F71" s="955"/>
      <c r="G71" s="1524"/>
      <c r="H71" s="1524"/>
      <c r="I71" s="1525">
        <f>IF(Data!D$33=TRUE,'Overflows Worksheet'!K9,'Overflows Worksheet'!T9)</f>
        <v>0</v>
      </c>
      <c r="J71" s="1525"/>
      <c r="K71" s="853">
        <f>LOOKUP(C17,Cities!A$3:A$343,Cities!D$3:D$343)</f>
        <v>0</v>
      </c>
      <c r="L71" s="1522">
        <f t="shared" si="13"/>
        <v>0</v>
      </c>
      <c r="M71" s="1523"/>
      <c r="N71" s="339">
        <f>LOOKUP($C17,Cities!$A$3:$A$356,Cities!$V$3:$V$356)</f>
        <v>0</v>
      </c>
      <c r="O71" s="936" t="str">
        <f t="shared" si="14"/>
        <v/>
      </c>
      <c r="Q71" s="785">
        <f t="shared" si="15"/>
        <v>0</v>
      </c>
      <c r="R71" s="171"/>
    </row>
    <row r="72" spans="1:18" ht="15" x14ac:dyDescent="0.2">
      <c r="A72" s="325">
        <v>7</v>
      </c>
      <c r="B72" s="336" t="str">
        <f>IF(C72=1,"",LOOKUP(C72,Cities!A$3:A$343,Cities!C$3:C$343))</f>
        <v/>
      </c>
      <c r="C72" s="338">
        <f t="shared" si="11"/>
        <v>1</v>
      </c>
      <c r="D72" s="337">
        <f t="shared" si="12"/>
        <v>0</v>
      </c>
      <c r="E72" s="812">
        <f>ROUND('Print Return'!$L$37*Overflow!M18,0)</f>
        <v>0</v>
      </c>
      <c r="F72" s="955"/>
      <c r="G72" s="1524"/>
      <c r="H72" s="1524"/>
      <c r="I72" s="1525">
        <f>IF(Data!D$33=TRUE,'Overflows Worksheet'!K10,'Overflows Worksheet'!T10)</f>
        <v>0</v>
      </c>
      <c r="J72" s="1525"/>
      <c r="K72" s="853">
        <f>LOOKUP(C18,Cities!A$3:A$343,Cities!D$3:D$343)</f>
        <v>0</v>
      </c>
      <c r="L72" s="1522">
        <f t="shared" si="13"/>
        <v>0</v>
      </c>
      <c r="M72" s="1523"/>
      <c r="N72" s="339">
        <f>LOOKUP($C18,Cities!$A$3:$A$356,Cities!$V$3:$V$356)</f>
        <v>0</v>
      </c>
      <c r="O72" s="936" t="str">
        <f t="shared" si="14"/>
        <v/>
      </c>
      <c r="Q72" s="785">
        <f t="shared" si="15"/>
        <v>0</v>
      </c>
      <c r="R72" s="171"/>
    </row>
    <row r="73" spans="1:18" ht="15" x14ac:dyDescent="0.2">
      <c r="A73" s="325">
        <v>8</v>
      </c>
      <c r="B73" s="336" t="str">
        <f>IF(C73=1,"",LOOKUP(C73,Cities!A$3:A$343,Cities!C$3:C$343))</f>
        <v/>
      </c>
      <c r="C73" s="338">
        <f t="shared" si="11"/>
        <v>1</v>
      </c>
      <c r="D73" s="337">
        <f t="shared" si="12"/>
        <v>0</v>
      </c>
      <c r="E73" s="812">
        <f>ROUND('Print Return'!$L$37*Overflow!M19,0)</f>
        <v>0</v>
      </c>
      <c r="F73" s="955"/>
      <c r="G73" s="1524"/>
      <c r="H73" s="1524"/>
      <c r="I73" s="1525">
        <f>IF(Data!D$33=TRUE,'Overflows Worksheet'!K11,'Overflows Worksheet'!T11)</f>
        <v>0</v>
      </c>
      <c r="J73" s="1525"/>
      <c r="K73" s="853">
        <f>LOOKUP(C19,Cities!A$3:A$343,Cities!D$3:D$343)</f>
        <v>0</v>
      </c>
      <c r="L73" s="1522">
        <f t="shared" si="13"/>
        <v>0</v>
      </c>
      <c r="M73" s="1523"/>
      <c r="N73" s="339">
        <f>LOOKUP($C19,Cities!$A$3:$A$356,Cities!$V$3:$V$356)</f>
        <v>0</v>
      </c>
      <c r="O73" s="936" t="str">
        <f t="shared" si="14"/>
        <v/>
      </c>
      <c r="Q73" s="785">
        <f t="shared" si="15"/>
        <v>0</v>
      </c>
      <c r="R73" s="171"/>
    </row>
    <row r="74" spans="1:18" ht="15" x14ac:dyDescent="0.2">
      <c r="A74" s="325">
        <v>9</v>
      </c>
      <c r="B74" s="336" t="str">
        <f>IF(C74=1,"",LOOKUP(C74,Cities!A$3:A$343,Cities!C$3:C$343))</f>
        <v/>
      </c>
      <c r="C74" s="338">
        <f t="shared" si="11"/>
        <v>1</v>
      </c>
      <c r="D74" s="337">
        <f t="shared" si="12"/>
        <v>0</v>
      </c>
      <c r="E74" s="812">
        <f>ROUND('Print Return'!$L$37*Overflow!M20,0)</f>
        <v>0</v>
      </c>
      <c r="F74" s="955"/>
      <c r="G74" s="1524"/>
      <c r="H74" s="1524"/>
      <c r="I74" s="1525">
        <f>IF(Data!D$33=TRUE,'Overflows Worksheet'!K12,'Overflows Worksheet'!T12)</f>
        <v>0</v>
      </c>
      <c r="J74" s="1525"/>
      <c r="K74" s="853">
        <f>LOOKUP(C20,Cities!A$3:A$343,Cities!D$3:D$343)</f>
        <v>0</v>
      </c>
      <c r="L74" s="1522">
        <f t="shared" si="13"/>
        <v>0</v>
      </c>
      <c r="M74" s="1523"/>
      <c r="N74" s="339">
        <f>LOOKUP($C20,Cities!$A$3:$A$356,Cities!$V$3:$V$356)</f>
        <v>0</v>
      </c>
      <c r="O74" s="936" t="str">
        <f t="shared" si="14"/>
        <v/>
      </c>
      <c r="Q74" s="785">
        <f t="shared" si="15"/>
        <v>0</v>
      </c>
      <c r="R74" s="171"/>
    </row>
    <row r="75" spans="1:18" ht="15" x14ac:dyDescent="0.2">
      <c r="A75" s="325">
        <v>10</v>
      </c>
      <c r="B75" s="336" t="str">
        <f>IF(C75=1,"",LOOKUP(C75,Cities!A$3:A$343,Cities!C$3:C$343))</f>
        <v/>
      </c>
      <c r="C75" s="338">
        <f t="shared" si="11"/>
        <v>1</v>
      </c>
      <c r="D75" s="337">
        <f t="shared" si="12"/>
        <v>0</v>
      </c>
      <c r="E75" s="812">
        <f>ROUND('Print Return'!$L$37*Overflow!M21,0)</f>
        <v>0</v>
      </c>
      <c r="F75" s="955"/>
      <c r="G75" s="1524"/>
      <c r="H75" s="1524"/>
      <c r="I75" s="1525">
        <f>IF(Data!D$33=TRUE,'Overflows Worksheet'!K13,'Overflows Worksheet'!T13)</f>
        <v>0</v>
      </c>
      <c r="J75" s="1525"/>
      <c r="K75" s="853">
        <f>LOOKUP(C21,Cities!A$3:A$343,Cities!D$3:D$343)</f>
        <v>0</v>
      </c>
      <c r="L75" s="1522">
        <f t="shared" si="13"/>
        <v>0</v>
      </c>
      <c r="M75" s="1523"/>
      <c r="N75" s="339">
        <f>LOOKUP($C21,Cities!$A$3:$A$356,Cities!$V$3:$V$356)</f>
        <v>0</v>
      </c>
      <c r="O75" s="936" t="str">
        <f t="shared" si="14"/>
        <v/>
      </c>
      <c r="Q75" s="785">
        <f t="shared" si="15"/>
        <v>0</v>
      </c>
      <c r="R75" s="171"/>
    </row>
    <row r="76" spans="1:18" ht="15" x14ac:dyDescent="0.2">
      <c r="A76" s="325">
        <v>11</v>
      </c>
      <c r="B76" s="336" t="str">
        <f>IF(C76=1,"",LOOKUP(C76,Cities!A$3:A$343,Cities!C$3:C$343))</f>
        <v/>
      </c>
      <c r="C76" s="338">
        <f t="shared" si="11"/>
        <v>1</v>
      </c>
      <c r="D76" s="337">
        <f t="shared" si="12"/>
        <v>0</v>
      </c>
      <c r="E76" s="812">
        <f>ROUND('Print Return'!$L$37*Overflow!M22,0)</f>
        <v>0</v>
      </c>
      <c r="F76" s="955"/>
      <c r="G76" s="1524"/>
      <c r="H76" s="1524"/>
      <c r="I76" s="1525">
        <f>IF(Data!D$33=TRUE,'Overflows Worksheet'!K14,'Overflows Worksheet'!T14)</f>
        <v>0</v>
      </c>
      <c r="J76" s="1525"/>
      <c r="K76" s="853">
        <f>LOOKUP(C22,Cities!A$3:A$343,Cities!D$3:D$343)</f>
        <v>0</v>
      </c>
      <c r="L76" s="1522">
        <f t="shared" si="13"/>
        <v>0</v>
      </c>
      <c r="M76" s="1523"/>
      <c r="N76" s="339">
        <f>LOOKUP($C22,Cities!$A$3:$A$356,Cities!$V$3:$V$356)</f>
        <v>0</v>
      </c>
      <c r="O76" s="936" t="str">
        <f t="shared" si="14"/>
        <v/>
      </c>
      <c r="Q76" s="785">
        <f t="shared" si="15"/>
        <v>0</v>
      </c>
      <c r="R76" s="171"/>
    </row>
    <row r="77" spans="1:18" ht="15" x14ac:dyDescent="0.2">
      <c r="A77" s="325">
        <v>12</v>
      </c>
      <c r="B77" s="336" t="str">
        <f>IF(C77=1,"",LOOKUP(C77,Cities!A$3:A$343,Cities!C$3:C$343))</f>
        <v/>
      </c>
      <c r="C77" s="338">
        <f t="shared" si="11"/>
        <v>1</v>
      </c>
      <c r="D77" s="337">
        <f t="shared" si="12"/>
        <v>0</v>
      </c>
      <c r="E77" s="812">
        <f>ROUND('Print Return'!$L$37*Overflow!M23,0)</f>
        <v>0</v>
      </c>
      <c r="F77" s="955"/>
      <c r="G77" s="1524"/>
      <c r="H77" s="1524"/>
      <c r="I77" s="1525">
        <f>IF(Data!D$33=TRUE,'Overflows Worksheet'!K15,'Overflows Worksheet'!T15)</f>
        <v>0</v>
      </c>
      <c r="J77" s="1525"/>
      <c r="K77" s="853">
        <f>LOOKUP(C23,Cities!A$3:A$343,Cities!D$3:D$343)</f>
        <v>0</v>
      </c>
      <c r="L77" s="1522">
        <f t="shared" si="13"/>
        <v>0</v>
      </c>
      <c r="M77" s="1523"/>
      <c r="N77" s="339">
        <f>LOOKUP($C23,Cities!$A$3:$A$356,Cities!$V$3:$V$356)</f>
        <v>0</v>
      </c>
      <c r="O77" s="936" t="str">
        <f t="shared" si="14"/>
        <v/>
      </c>
      <c r="Q77" s="785">
        <f t="shared" si="15"/>
        <v>0</v>
      </c>
      <c r="R77" s="171"/>
    </row>
    <row r="78" spans="1:18" ht="15" x14ac:dyDescent="0.2">
      <c r="A78" s="325">
        <v>13</v>
      </c>
      <c r="B78" s="336" t="str">
        <f>IF(C78=1,"",LOOKUP(C78,Cities!A$3:A$343,Cities!C$3:C$343))</f>
        <v/>
      </c>
      <c r="C78" s="338">
        <f t="shared" si="11"/>
        <v>1</v>
      </c>
      <c r="D78" s="337">
        <f t="shared" si="12"/>
        <v>0</v>
      </c>
      <c r="E78" s="812">
        <f>ROUND('Print Return'!$L$37*Overflow!M24,0)</f>
        <v>0</v>
      </c>
      <c r="F78" s="955"/>
      <c r="G78" s="1524"/>
      <c r="H78" s="1524"/>
      <c r="I78" s="1525">
        <f>IF(Data!D$33=TRUE,'Overflows Worksheet'!K16,'Overflows Worksheet'!T16)</f>
        <v>0</v>
      </c>
      <c r="J78" s="1525"/>
      <c r="K78" s="853">
        <f>LOOKUP(C24,Cities!A$3:A$343,Cities!D$3:D$343)</f>
        <v>0</v>
      </c>
      <c r="L78" s="1522">
        <f t="shared" si="13"/>
        <v>0</v>
      </c>
      <c r="M78" s="1523"/>
      <c r="N78" s="339">
        <f>LOOKUP($C24,Cities!$A$3:$A$356,Cities!$V$3:$V$356)</f>
        <v>0</v>
      </c>
      <c r="O78" s="936" t="str">
        <f t="shared" si="14"/>
        <v/>
      </c>
      <c r="Q78" s="785">
        <f t="shared" si="15"/>
        <v>0</v>
      </c>
      <c r="R78" s="171"/>
    </row>
    <row r="79" spans="1:18" ht="15" x14ac:dyDescent="0.2">
      <c r="A79" s="325">
        <v>14</v>
      </c>
      <c r="B79" s="336" t="str">
        <f>IF(C79=1,"",LOOKUP(C79,Cities!A$3:A$343,Cities!C$3:C$343))</f>
        <v/>
      </c>
      <c r="C79" s="338">
        <f t="shared" si="11"/>
        <v>1</v>
      </c>
      <c r="D79" s="337">
        <f t="shared" si="12"/>
        <v>0</v>
      </c>
      <c r="E79" s="812">
        <f>ROUND('Print Return'!$L$37*Overflow!M25,0)</f>
        <v>0</v>
      </c>
      <c r="F79" s="955"/>
      <c r="G79" s="1524"/>
      <c r="H79" s="1524"/>
      <c r="I79" s="1525">
        <f>IF(Data!D$33=TRUE,'Overflows Worksheet'!K17,'Overflows Worksheet'!T17)</f>
        <v>0</v>
      </c>
      <c r="J79" s="1525"/>
      <c r="K79" s="853">
        <f>LOOKUP(C25,Cities!A$3:A$343,Cities!D$3:D$343)</f>
        <v>0</v>
      </c>
      <c r="L79" s="1522">
        <f t="shared" si="13"/>
        <v>0</v>
      </c>
      <c r="M79" s="1523"/>
      <c r="N79" s="339">
        <f>LOOKUP($C25,Cities!$A$3:$A$356,Cities!$V$3:$V$356)</f>
        <v>0</v>
      </c>
      <c r="O79" s="936" t="str">
        <f t="shared" si="14"/>
        <v/>
      </c>
      <c r="Q79" s="785">
        <f t="shared" si="15"/>
        <v>0</v>
      </c>
      <c r="R79" s="171"/>
    </row>
    <row r="80" spans="1:18" ht="15" x14ac:dyDescent="0.2">
      <c r="A80" s="325">
        <v>15</v>
      </c>
      <c r="B80" s="336" t="str">
        <f>IF(C80=1,"",LOOKUP(C80,Cities!A$3:A$343,Cities!C$3:C$343))</f>
        <v/>
      </c>
      <c r="C80" s="338">
        <f t="shared" si="11"/>
        <v>1</v>
      </c>
      <c r="D80" s="337">
        <f t="shared" si="12"/>
        <v>0</v>
      </c>
      <c r="E80" s="812">
        <f>ROUND('Print Return'!$L$37*Overflow!M26,0)</f>
        <v>0</v>
      </c>
      <c r="F80" s="955"/>
      <c r="G80" s="1524"/>
      <c r="H80" s="1524"/>
      <c r="I80" s="1525">
        <f>IF(Data!D$33=TRUE,'Overflows Worksheet'!K18,'Overflows Worksheet'!T18)</f>
        <v>0</v>
      </c>
      <c r="J80" s="1525"/>
      <c r="K80" s="853">
        <f>LOOKUP(C26,Cities!A$3:A$343,Cities!D$3:D$343)</f>
        <v>0</v>
      </c>
      <c r="L80" s="1522">
        <f t="shared" si="13"/>
        <v>0</v>
      </c>
      <c r="M80" s="1523"/>
      <c r="N80" s="339">
        <f>LOOKUP($C26,Cities!$A$3:$A$356,Cities!$V$3:$V$356)</f>
        <v>0</v>
      </c>
      <c r="O80" s="936" t="str">
        <f t="shared" si="14"/>
        <v/>
      </c>
      <c r="Q80" s="785">
        <f t="shared" si="15"/>
        <v>0</v>
      </c>
      <c r="R80" s="171"/>
    </row>
    <row r="81" spans="1:18" ht="15" x14ac:dyDescent="0.2">
      <c r="A81" s="325">
        <v>16</v>
      </c>
      <c r="B81" s="336" t="str">
        <f>IF(C81=1,"",LOOKUP(C81,Cities!A$3:A$343,Cities!C$3:C$343))</f>
        <v/>
      </c>
      <c r="C81" s="338">
        <f t="shared" si="11"/>
        <v>1</v>
      </c>
      <c r="D81" s="337">
        <f t="shared" si="12"/>
        <v>0</v>
      </c>
      <c r="E81" s="812">
        <f>ROUND('Print Return'!$L$37*Overflow!M27,0)</f>
        <v>0</v>
      </c>
      <c r="F81" s="955"/>
      <c r="G81" s="1524"/>
      <c r="H81" s="1524"/>
      <c r="I81" s="1525">
        <f>IF(Data!D$33=TRUE,'Overflows Worksheet'!K19,'Overflows Worksheet'!T19)</f>
        <v>0</v>
      </c>
      <c r="J81" s="1525"/>
      <c r="K81" s="853">
        <f>LOOKUP(C27,Cities!A$3:A$343,Cities!D$3:D$343)</f>
        <v>0</v>
      </c>
      <c r="L81" s="1522">
        <f t="shared" si="13"/>
        <v>0</v>
      </c>
      <c r="M81" s="1523"/>
      <c r="N81" s="339">
        <f>LOOKUP($C27,Cities!$A$3:$A$356,Cities!$V$3:$V$356)</f>
        <v>0</v>
      </c>
      <c r="O81" s="936" t="str">
        <f t="shared" si="14"/>
        <v/>
      </c>
      <c r="Q81" s="785">
        <f t="shared" si="15"/>
        <v>0</v>
      </c>
      <c r="R81" s="171"/>
    </row>
    <row r="82" spans="1:18" ht="15" x14ac:dyDescent="0.2">
      <c r="A82" s="325">
        <v>17</v>
      </c>
      <c r="B82" s="336" t="str">
        <f>IF(C82=1,"",LOOKUP(C82,Cities!A$3:A$343,Cities!C$3:C$343))</f>
        <v/>
      </c>
      <c r="C82" s="338">
        <f t="shared" si="11"/>
        <v>1</v>
      </c>
      <c r="D82" s="337">
        <f t="shared" si="12"/>
        <v>0</v>
      </c>
      <c r="E82" s="812">
        <f>ROUND('Print Return'!$L$37*Overflow!M28,0)</f>
        <v>0</v>
      </c>
      <c r="F82" s="955"/>
      <c r="G82" s="1524"/>
      <c r="H82" s="1524"/>
      <c r="I82" s="1525">
        <f>IF(Data!D$33=TRUE,'Overflows Worksheet'!K20,'Overflows Worksheet'!T20)</f>
        <v>0</v>
      </c>
      <c r="J82" s="1525"/>
      <c r="K82" s="853">
        <f>LOOKUP(C28,Cities!A$3:A$343,Cities!D$3:D$343)</f>
        <v>0</v>
      </c>
      <c r="L82" s="1522">
        <f t="shared" si="13"/>
        <v>0</v>
      </c>
      <c r="M82" s="1523"/>
      <c r="N82" s="339">
        <f>LOOKUP($C28,Cities!$A$3:$A$356,Cities!$V$3:$V$356)</f>
        <v>0</v>
      </c>
      <c r="O82" s="936" t="str">
        <f t="shared" si="14"/>
        <v/>
      </c>
      <c r="Q82" s="785">
        <f t="shared" si="15"/>
        <v>0</v>
      </c>
      <c r="R82" s="171"/>
    </row>
    <row r="83" spans="1:18" ht="15" x14ac:dyDescent="0.2">
      <c r="A83" s="325">
        <v>18</v>
      </c>
      <c r="B83" s="336" t="str">
        <f>IF(C83=1,"",LOOKUP(C83,Cities!A$3:A$343,Cities!C$3:C$343))</f>
        <v/>
      </c>
      <c r="C83" s="338">
        <f t="shared" si="11"/>
        <v>1</v>
      </c>
      <c r="D83" s="337">
        <f t="shared" si="12"/>
        <v>0</v>
      </c>
      <c r="E83" s="812">
        <f>ROUND('Print Return'!$L$37*Overflow!M29,0)</f>
        <v>0</v>
      </c>
      <c r="F83" s="955"/>
      <c r="G83" s="1524"/>
      <c r="H83" s="1524"/>
      <c r="I83" s="1525">
        <f>IF(Data!D$33=TRUE,'Overflows Worksheet'!K21,'Overflows Worksheet'!T21)</f>
        <v>0</v>
      </c>
      <c r="J83" s="1525"/>
      <c r="K83" s="853">
        <f>LOOKUP(C29,Cities!A$3:A$343,Cities!D$3:D$343)</f>
        <v>0</v>
      </c>
      <c r="L83" s="1522">
        <f t="shared" si="13"/>
        <v>0</v>
      </c>
      <c r="M83" s="1523"/>
      <c r="N83" s="339">
        <f>LOOKUP($C29,Cities!$A$3:$A$356,Cities!$V$3:$V$356)</f>
        <v>0</v>
      </c>
      <c r="O83" s="936" t="str">
        <f t="shared" si="14"/>
        <v/>
      </c>
      <c r="Q83" s="785">
        <f t="shared" si="15"/>
        <v>0</v>
      </c>
      <c r="R83" s="171"/>
    </row>
    <row r="84" spans="1:18" ht="15" x14ac:dyDescent="0.2">
      <c r="A84" s="325">
        <v>19</v>
      </c>
      <c r="B84" s="336" t="str">
        <f>IF(C84=1,"",LOOKUP(C84,Cities!A$3:A$343,Cities!C$3:C$343))</f>
        <v/>
      </c>
      <c r="C84" s="338">
        <f t="shared" si="11"/>
        <v>1</v>
      </c>
      <c r="D84" s="337">
        <f t="shared" si="12"/>
        <v>0</v>
      </c>
      <c r="E84" s="812">
        <f>ROUND('Print Return'!$L$37*Overflow!M30,0)</f>
        <v>0</v>
      </c>
      <c r="F84" s="955"/>
      <c r="G84" s="1524"/>
      <c r="H84" s="1524"/>
      <c r="I84" s="1525">
        <f>IF(Data!D$33=TRUE,'Overflows Worksheet'!K22,'Overflows Worksheet'!T22)</f>
        <v>0</v>
      </c>
      <c r="J84" s="1525"/>
      <c r="K84" s="853">
        <f>LOOKUP(C30,Cities!A$3:A$343,Cities!D$3:D$343)</f>
        <v>0</v>
      </c>
      <c r="L84" s="1522">
        <f t="shared" si="13"/>
        <v>0</v>
      </c>
      <c r="M84" s="1523"/>
      <c r="N84" s="339">
        <f>LOOKUP($C30,Cities!$A$3:$A$356,Cities!$V$3:$V$356)</f>
        <v>0</v>
      </c>
      <c r="O84" s="936" t="str">
        <f t="shared" si="14"/>
        <v/>
      </c>
      <c r="Q84" s="785">
        <f t="shared" si="15"/>
        <v>0</v>
      </c>
      <c r="R84" s="171"/>
    </row>
    <row r="85" spans="1:18" ht="15" x14ac:dyDescent="0.2">
      <c r="A85" s="325">
        <v>20</v>
      </c>
      <c r="B85" s="336" t="str">
        <f>IF(C85=1,"",LOOKUP(C85,Cities!A$3:A$343,Cities!C$3:C$343))</f>
        <v/>
      </c>
      <c r="C85" s="338">
        <f t="shared" si="11"/>
        <v>1</v>
      </c>
      <c r="D85" s="337">
        <f t="shared" si="12"/>
        <v>0</v>
      </c>
      <c r="E85" s="812">
        <f>ROUND('Print Return'!$L$37*Overflow!M31,0)</f>
        <v>0</v>
      </c>
      <c r="F85" s="955"/>
      <c r="G85" s="1524"/>
      <c r="H85" s="1524"/>
      <c r="I85" s="1525">
        <f>IF(Data!D$33=TRUE,'Overflows Worksheet'!K23,'Overflows Worksheet'!T23)</f>
        <v>0</v>
      </c>
      <c r="J85" s="1525"/>
      <c r="K85" s="853">
        <f>LOOKUP(C31,Cities!A$3:A$343,Cities!D$3:D$343)</f>
        <v>0</v>
      </c>
      <c r="L85" s="1522">
        <f t="shared" si="13"/>
        <v>0</v>
      </c>
      <c r="M85" s="1523"/>
      <c r="N85" s="339">
        <f>LOOKUP($C31,Cities!$A$3:$A$356,Cities!$V$3:$V$356)</f>
        <v>0</v>
      </c>
      <c r="O85" s="936" t="str">
        <f t="shared" si="14"/>
        <v/>
      </c>
      <c r="Q85" s="785">
        <f t="shared" si="15"/>
        <v>0</v>
      </c>
      <c r="R85" s="171"/>
    </row>
    <row r="86" spans="1:18" ht="15" x14ac:dyDescent="0.2">
      <c r="A86" s="325">
        <v>21</v>
      </c>
      <c r="B86" s="336" t="str">
        <f>IF(C86=1,"",LOOKUP(C86,Cities!A$3:A$343,Cities!C$3:C$343))</f>
        <v/>
      </c>
      <c r="C86" s="338">
        <f t="shared" si="11"/>
        <v>1</v>
      </c>
      <c r="D86" s="337">
        <f t="shared" si="12"/>
        <v>0</v>
      </c>
      <c r="E86" s="812">
        <f>ROUND('Print Return'!$L$37*Overflow!M32,0)</f>
        <v>0</v>
      </c>
      <c r="F86" s="955"/>
      <c r="G86" s="1524"/>
      <c r="H86" s="1524"/>
      <c r="I86" s="1525">
        <f>IF(Data!D$33=TRUE,'Overflows Worksheet'!K24,'Overflows Worksheet'!T24)</f>
        <v>0</v>
      </c>
      <c r="J86" s="1525"/>
      <c r="K86" s="853">
        <f>LOOKUP(C32,Cities!A$3:A$343,Cities!D$3:D$343)</f>
        <v>0</v>
      </c>
      <c r="L86" s="1522">
        <f t="shared" si="13"/>
        <v>0</v>
      </c>
      <c r="M86" s="1523"/>
      <c r="N86" s="339">
        <f>LOOKUP($C32,Cities!$A$3:$A$356,Cities!$V$3:$V$356)</f>
        <v>0</v>
      </c>
      <c r="O86" s="936" t="str">
        <f t="shared" si="14"/>
        <v/>
      </c>
      <c r="Q86" s="785">
        <f t="shared" si="15"/>
        <v>0</v>
      </c>
      <c r="R86" s="171"/>
    </row>
    <row r="87" spans="1:18" ht="15" x14ac:dyDescent="0.2">
      <c r="A87" s="325">
        <v>22</v>
      </c>
      <c r="B87" s="336" t="str">
        <f>IF(C87=1,"",LOOKUP(C87,Cities!A$3:A$343,Cities!C$3:C$343))</f>
        <v/>
      </c>
      <c r="C87" s="338">
        <f t="shared" si="11"/>
        <v>1</v>
      </c>
      <c r="D87" s="337">
        <f t="shared" si="12"/>
        <v>0</v>
      </c>
      <c r="E87" s="812">
        <f>ROUND('Print Return'!$L$37*Overflow!M33,0)</f>
        <v>0</v>
      </c>
      <c r="F87" s="955"/>
      <c r="G87" s="1524"/>
      <c r="H87" s="1524"/>
      <c r="I87" s="1525">
        <f>IF(Data!D$33=TRUE,'Overflows Worksheet'!K25,'Overflows Worksheet'!T25)</f>
        <v>0</v>
      </c>
      <c r="J87" s="1525"/>
      <c r="K87" s="853">
        <f>LOOKUP(C33,Cities!A$3:A$343,Cities!D$3:D$343)</f>
        <v>0</v>
      </c>
      <c r="L87" s="1522">
        <f t="shared" si="13"/>
        <v>0</v>
      </c>
      <c r="M87" s="1523"/>
      <c r="N87" s="339">
        <f>LOOKUP($C33,Cities!$A$3:$A$356,Cities!$V$3:$V$356)</f>
        <v>0</v>
      </c>
      <c r="O87" s="936" t="str">
        <f t="shared" si="14"/>
        <v/>
      </c>
      <c r="Q87" s="785">
        <f t="shared" si="15"/>
        <v>0</v>
      </c>
      <c r="R87" s="171"/>
    </row>
    <row r="88" spans="1:18" ht="15" x14ac:dyDescent="0.2">
      <c r="A88" s="325">
        <v>23</v>
      </c>
      <c r="B88" s="336" t="str">
        <f>IF(C88=1,"",LOOKUP(C88,Cities!A$3:A$343,Cities!C$3:C$343))</f>
        <v/>
      </c>
      <c r="C88" s="338">
        <f t="shared" si="11"/>
        <v>1</v>
      </c>
      <c r="D88" s="337">
        <f t="shared" si="12"/>
        <v>0</v>
      </c>
      <c r="E88" s="812">
        <f>ROUND('Print Return'!$L$37*Overflow!M34,0)</f>
        <v>0</v>
      </c>
      <c r="F88" s="955"/>
      <c r="G88" s="1524"/>
      <c r="H88" s="1524"/>
      <c r="I88" s="1525">
        <f>IF(Data!D$33=TRUE,'Overflows Worksheet'!K26,'Overflows Worksheet'!T26)</f>
        <v>0</v>
      </c>
      <c r="J88" s="1525"/>
      <c r="K88" s="853">
        <f>LOOKUP(C34,Cities!A$3:A$343,Cities!D$3:D$343)</f>
        <v>0</v>
      </c>
      <c r="L88" s="1522">
        <f t="shared" si="13"/>
        <v>0</v>
      </c>
      <c r="M88" s="1523"/>
      <c r="N88" s="339">
        <f>LOOKUP($C34,Cities!$A$3:$A$356,Cities!$V$3:$V$356)</f>
        <v>0</v>
      </c>
      <c r="O88" s="936" t="str">
        <f t="shared" si="14"/>
        <v/>
      </c>
      <c r="Q88" s="785">
        <f t="shared" si="15"/>
        <v>0</v>
      </c>
      <c r="R88" s="171"/>
    </row>
    <row r="89" spans="1:18" ht="15" x14ac:dyDescent="0.2">
      <c r="A89" s="325">
        <v>24</v>
      </c>
      <c r="B89" s="336" t="str">
        <f>IF(C89=1,"",LOOKUP(C89,Cities!A$3:A$343,Cities!C$3:C$343))</f>
        <v/>
      </c>
      <c r="C89" s="338">
        <f t="shared" si="11"/>
        <v>1</v>
      </c>
      <c r="D89" s="337">
        <f t="shared" si="12"/>
        <v>0</v>
      </c>
      <c r="E89" s="812">
        <f>ROUND('Print Return'!$L$37*Overflow!M35,0)</f>
        <v>0</v>
      </c>
      <c r="F89" s="955"/>
      <c r="G89" s="1524"/>
      <c r="H89" s="1524"/>
      <c r="I89" s="1525">
        <f>IF(Data!D$33=TRUE,'Overflows Worksheet'!K27,'Overflows Worksheet'!T27)</f>
        <v>0</v>
      </c>
      <c r="J89" s="1525"/>
      <c r="K89" s="853">
        <f>LOOKUP(C35,Cities!A$3:A$343,Cities!D$3:D$343)</f>
        <v>0</v>
      </c>
      <c r="L89" s="1522">
        <f t="shared" si="13"/>
        <v>0</v>
      </c>
      <c r="M89" s="1523"/>
      <c r="N89" s="339">
        <f>LOOKUP($C35,Cities!$A$3:$A$356,Cities!$V$3:$V$356)</f>
        <v>0</v>
      </c>
      <c r="O89" s="936" t="str">
        <f t="shared" si="14"/>
        <v/>
      </c>
      <c r="Q89" s="785">
        <f t="shared" si="15"/>
        <v>0</v>
      </c>
      <c r="R89" s="171"/>
    </row>
    <row r="90" spans="1:18" ht="15" x14ac:dyDescent="0.2">
      <c r="A90" s="325">
        <v>25</v>
      </c>
      <c r="B90" s="336" t="str">
        <f>IF(C90=1,"",LOOKUP(C90,Cities!A$3:A$343,Cities!C$3:C$343))</f>
        <v/>
      </c>
      <c r="C90" s="338">
        <f t="shared" si="11"/>
        <v>1</v>
      </c>
      <c r="D90" s="337">
        <f t="shared" si="12"/>
        <v>0</v>
      </c>
      <c r="E90" s="812">
        <f>ROUND('Print Return'!$L$37*Overflow!M36,0)</f>
        <v>0</v>
      </c>
      <c r="F90" s="955"/>
      <c r="G90" s="1524"/>
      <c r="H90" s="1524"/>
      <c r="I90" s="1525">
        <f>IF(Data!D$33=TRUE,'Overflows Worksheet'!K28,'Overflows Worksheet'!T28)</f>
        <v>0</v>
      </c>
      <c r="J90" s="1525"/>
      <c r="K90" s="853">
        <f>LOOKUP(C36,Cities!A$3:A$343,Cities!D$3:D$343)</f>
        <v>0</v>
      </c>
      <c r="L90" s="1522">
        <f t="shared" si="13"/>
        <v>0</v>
      </c>
      <c r="M90" s="1523"/>
      <c r="N90" s="339">
        <f>LOOKUP($C36,Cities!$A$3:$A$356,Cities!$V$3:$V$356)</f>
        <v>0</v>
      </c>
      <c r="O90" s="936" t="str">
        <f t="shared" si="14"/>
        <v/>
      </c>
      <c r="Q90" s="785">
        <f t="shared" si="15"/>
        <v>0</v>
      </c>
      <c r="R90" s="171"/>
    </row>
    <row r="91" spans="1:18" ht="15" x14ac:dyDescent="0.2">
      <c r="A91" s="325">
        <v>26</v>
      </c>
      <c r="B91" s="336" t="str">
        <f>IF(C91=1,"",LOOKUP(C91,Cities!A$3:A$343,Cities!C$3:C$343))</f>
        <v/>
      </c>
      <c r="C91" s="338">
        <f t="shared" si="11"/>
        <v>1</v>
      </c>
      <c r="D91" s="337">
        <f t="shared" si="12"/>
        <v>0</v>
      </c>
      <c r="E91" s="812">
        <f>ROUND('Print Return'!$L$37*Overflow!M37,0)</f>
        <v>0</v>
      </c>
      <c r="F91" s="955"/>
      <c r="G91" s="1524"/>
      <c r="H91" s="1524"/>
      <c r="I91" s="1525">
        <f>IF(Data!D$33=TRUE,'Overflows Worksheet'!K29,'Overflows Worksheet'!T29)</f>
        <v>0</v>
      </c>
      <c r="J91" s="1525"/>
      <c r="K91" s="853">
        <f>LOOKUP(C37,Cities!A$3:A$343,Cities!D$3:D$343)</f>
        <v>0</v>
      </c>
      <c r="L91" s="1522">
        <f t="shared" si="13"/>
        <v>0</v>
      </c>
      <c r="M91" s="1523"/>
      <c r="N91" s="339">
        <f>LOOKUP($C37,Cities!$A$3:$A$356,Cities!$V$3:$V$356)</f>
        <v>0</v>
      </c>
      <c r="O91" s="936" t="str">
        <f t="shared" si="14"/>
        <v/>
      </c>
      <c r="Q91" s="785">
        <f t="shared" si="15"/>
        <v>0</v>
      </c>
      <c r="R91" s="171"/>
    </row>
    <row r="92" spans="1:18" ht="15" x14ac:dyDescent="0.2">
      <c r="A92" s="325">
        <v>27</v>
      </c>
      <c r="B92" s="336" t="str">
        <f>IF(C92=1,"",LOOKUP(C92,Cities!A$3:A$343,Cities!C$3:C$343))</f>
        <v/>
      </c>
      <c r="C92" s="338">
        <f t="shared" si="11"/>
        <v>1</v>
      </c>
      <c r="D92" s="337">
        <f t="shared" si="12"/>
        <v>0</v>
      </c>
      <c r="E92" s="812">
        <f>ROUND('Print Return'!$L$37*Overflow!M38,0)</f>
        <v>0</v>
      </c>
      <c r="F92" s="955"/>
      <c r="G92" s="1524"/>
      <c r="H92" s="1524"/>
      <c r="I92" s="1525">
        <f>IF(Data!D$33=TRUE,'Overflows Worksheet'!K30,'Overflows Worksheet'!T30)</f>
        <v>0</v>
      </c>
      <c r="J92" s="1525"/>
      <c r="K92" s="853">
        <f>LOOKUP(C38,Cities!A$3:A$343,Cities!D$3:D$343)</f>
        <v>0</v>
      </c>
      <c r="L92" s="1522">
        <f t="shared" si="13"/>
        <v>0</v>
      </c>
      <c r="M92" s="1523"/>
      <c r="N92" s="339">
        <f>LOOKUP($C38,Cities!$A$3:$A$356,Cities!$V$3:$V$356)</f>
        <v>0</v>
      </c>
      <c r="O92" s="936" t="str">
        <f t="shared" si="14"/>
        <v/>
      </c>
      <c r="Q92" s="785">
        <f t="shared" si="15"/>
        <v>0</v>
      </c>
      <c r="R92" s="171"/>
    </row>
    <row r="93" spans="1:18" ht="15" x14ac:dyDescent="0.2">
      <c r="A93" s="325">
        <v>28</v>
      </c>
      <c r="B93" s="336" t="str">
        <f>IF(C93=1,"",LOOKUP(C93,Cities!A$3:A$343,Cities!C$3:C$343))</f>
        <v/>
      </c>
      <c r="C93" s="338">
        <f t="shared" si="11"/>
        <v>1</v>
      </c>
      <c r="D93" s="337">
        <f t="shared" si="12"/>
        <v>0</v>
      </c>
      <c r="E93" s="812">
        <f>ROUND('Print Return'!$L$37*Overflow!M39,0)</f>
        <v>0</v>
      </c>
      <c r="F93" s="955"/>
      <c r="G93" s="1524"/>
      <c r="H93" s="1524"/>
      <c r="I93" s="1525">
        <f>IF(Data!D$33=TRUE,'Overflows Worksheet'!K31,'Overflows Worksheet'!T31)</f>
        <v>0</v>
      </c>
      <c r="J93" s="1525"/>
      <c r="K93" s="853">
        <f>LOOKUP(C39,Cities!A$3:A$343,Cities!D$3:D$343)</f>
        <v>0</v>
      </c>
      <c r="L93" s="1522">
        <f t="shared" si="13"/>
        <v>0</v>
      </c>
      <c r="M93" s="1523"/>
      <c r="N93" s="339">
        <f>LOOKUP($C39,Cities!$A$3:$A$356,Cities!$V$3:$V$356)</f>
        <v>0</v>
      </c>
      <c r="O93" s="936" t="str">
        <f t="shared" si="14"/>
        <v/>
      </c>
      <c r="Q93" s="785">
        <f t="shared" si="15"/>
        <v>0</v>
      </c>
      <c r="R93" s="171"/>
    </row>
    <row r="94" spans="1:18" ht="15" x14ac:dyDescent="0.2">
      <c r="A94" s="325">
        <v>29</v>
      </c>
      <c r="B94" s="336" t="str">
        <f>IF(C94=1,"",LOOKUP(C94,Cities!A$3:A$343,Cities!C$3:C$343))</f>
        <v/>
      </c>
      <c r="C94" s="338">
        <f t="shared" si="11"/>
        <v>1</v>
      </c>
      <c r="D94" s="337">
        <f t="shared" si="12"/>
        <v>0</v>
      </c>
      <c r="E94" s="812">
        <f>ROUND('Print Return'!$L$37*Overflow!M40,0)</f>
        <v>0</v>
      </c>
      <c r="F94" s="955"/>
      <c r="G94" s="1524"/>
      <c r="H94" s="1524"/>
      <c r="I94" s="1525">
        <f>IF(Data!D$33=TRUE,'Overflows Worksheet'!K32,'Overflows Worksheet'!T32)</f>
        <v>0</v>
      </c>
      <c r="J94" s="1525"/>
      <c r="K94" s="853">
        <f>LOOKUP(C40,Cities!A$3:A$343,Cities!D$3:D$343)</f>
        <v>0</v>
      </c>
      <c r="L94" s="1522">
        <f t="shared" si="13"/>
        <v>0</v>
      </c>
      <c r="M94" s="1523"/>
      <c r="N94" s="339">
        <f>LOOKUP($C40,Cities!$A$3:$A$356,Cities!$V$3:$V$356)</f>
        <v>0</v>
      </c>
      <c r="O94" s="936" t="str">
        <f t="shared" si="14"/>
        <v/>
      </c>
      <c r="Q94" s="785">
        <f t="shared" si="15"/>
        <v>0</v>
      </c>
      <c r="R94" s="171"/>
    </row>
    <row r="95" spans="1:18" ht="15" x14ac:dyDescent="0.2">
      <c r="A95" s="325">
        <v>30</v>
      </c>
      <c r="B95" s="336" t="str">
        <f>IF(C95=1,"",LOOKUP(C95,Cities!A$3:A$343,Cities!C$3:C$343))</f>
        <v/>
      </c>
      <c r="C95" s="338">
        <f t="shared" si="11"/>
        <v>1</v>
      </c>
      <c r="D95" s="337">
        <f t="shared" si="12"/>
        <v>0</v>
      </c>
      <c r="E95" s="812">
        <f>ROUND('Print Return'!$L$37*Overflow!M41,0)</f>
        <v>0</v>
      </c>
      <c r="F95" s="955"/>
      <c r="G95" s="1524"/>
      <c r="H95" s="1524"/>
      <c r="I95" s="1525">
        <f>IF(Data!D$33=TRUE,'Overflows Worksheet'!K33,'Overflows Worksheet'!T33)</f>
        <v>0</v>
      </c>
      <c r="J95" s="1525"/>
      <c r="K95" s="853">
        <f>LOOKUP(C41,Cities!A$3:A$343,Cities!D$3:D$343)</f>
        <v>0</v>
      </c>
      <c r="L95" s="1522">
        <f t="shared" si="13"/>
        <v>0</v>
      </c>
      <c r="M95" s="1523"/>
      <c r="N95" s="339">
        <f>LOOKUP($C41,Cities!$A$3:$A$356,Cities!$V$3:$V$356)</f>
        <v>0</v>
      </c>
      <c r="O95" s="936" t="str">
        <f t="shared" si="14"/>
        <v/>
      </c>
      <c r="Q95" s="785">
        <f t="shared" si="15"/>
        <v>0</v>
      </c>
      <c r="R95" s="171"/>
    </row>
    <row r="96" spans="1:18" ht="15" x14ac:dyDescent="0.2">
      <c r="A96" s="325">
        <v>31</v>
      </c>
      <c r="B96" s="336" t="str">
        <f>IF(C96=1,"",LOOKUP(C96,Cities!A$3:A$343,Cities!C$3:C$343))</f>
        <v/>
      </c>
      <c r="C96" s="338">
        <f t="shared" si="11"/>
        <v>1</v>
      </c>
      <c r="D96" s="337">
        <f t="shared" si="12"/>
        <v>0</v>
      </c>
      <c r="E96" s="812">
        <f>ROUND('Print Return'!$L$37*Overflow!M42,0)</f>
        <v>0</v>
      </c>
      <c r="F96" s="955"/>
      <c r="G96" s="1524"/>
      <c r="H96" s="1524"/>
      <c r="I96" s="1525">
        <f>IF(Data!D$33=TRUE,'Overflows Worksheet'!K34,'Overflows Worksheet'!T34)</f>
        <v>0</v>
      </c>
      <c r="J96" s="1525"/>
      <c r="K96" s="853">
        <f>LOOKUP(C42,Cities!A$3:A$343,Cities!D$3:D$343)</f>
        <v>0</v>
      </c>
      <c r="L96" s="1522">
        <f t="shared" si="13"/>
        <v>0</v>
      </c>
      <c r="M96" s="1523"/>
      <c r="N96" s="339">
        <f>LOOKUP($C42,Cities!$A$3:$A$356,Cities!$V$3:$V$356)</f>
        <v>0</v>
      </c>
      <c r="O96" s="936" t="str">
        <f t="shared" si="14"/>
        <v/>
      </c>
      <c r="Q96" s="785">
        <f t="shared" si="15"/>
        <v>0</v>
      </c>
      <c r="R96" s="171"/>
    </row>
    <row r="97" spans="1:18" ht="15" x14ac:dyDescent="0.2">
      <c r="A97" s="325">
        <v>32</v>
      </c>
      <c r="B97" s="336" t="str">
        <f>IF(C97=1,"",LOOKUP(C97,Cities!A$3:A$343,Cities!C$3:C$343))</f>
        <v/>
      </c>
      <c r="C97" s="338">
        <f t="shared" si="11"/>
        <v>1</v>
      </c>
      <c r="D97" s="337">
        <f t="shared" si="12"/>
        <v>0</v>
      </c>
      <c r="E97" s="812">
        <f>ROUND('Print Return'!$L$37*Overflow!M43,0)</f>
        <v>0</v>
      </c>
      <c r="F97" s="955"/>
      <c r="G97" s="1524"/>
      <c r="H97" s="1524"/>
      <c r="I97" s="1525">
        <f>IF(Data!D$33=TRUE,'Overflows Worksheet'!K35,'Overflows Worksheet'!T35)</f>
        <v>0</v>
      </c>
      <c r="J97" s="1525"/>
      <c r="K97" s="853">
        <f>LOOKUP(C43,Cities!A$3:A$343,Cities!D$3:D$343)</f>
        <v>0</v>
      </c>
      <c r="L97" s="1522">
        <f t="shared" si="13"/>
        <v>0</v>
      </c>
      <c r="M97" s="1523"/>
      <c r="N97" s="339">
        <f>LOOKUP($C43,Cities!$A$3:$A$356,Cities!$V$3:$V$356)</f>
        <v>0</v>
      </c>
      <c r="O97" s="936" t="str">
        <f t="shared" si="14"/>
        <v/>
      </c>
      <c r="Q97" s="785">
        <f t="shared" si="15"/>
        <v>0</v>
      </c>
      <c r="R97" s="171"/>
    </row>
    <row r="98" spans="1:18" ht="15" x14ac:dyDescent="0.2">
      <c r="A98" s="325">
        <v>33</v>
      </c>
      <c r="B98" s="336" t="str">
        <f>IF(C98=1,"",LOOKUP(C98,Cities!A$3:A$343,Cities!C$3:C$343))</f>
        <v/>
      </c>
      <c r="C98" s="338">
        <f t="shared" si="11"/>
        <v>1</v>
      </c>
      <c r="D98" s="337">
        <f t="shared" si="12"/>
        <v>0</v>
      </c>
      <c r="E98" s="812">
        <f>ROUND('Print Return'!$L$37*Overflow!M44,0)</f>
        <v>0</v>
      </c>
      <c r="F98" s="955"/>
      <c r="G98" s="1524"/>
      <c r="H98" s="1524"/>
      <c r="I98" s="1525">
        <f>IF(Data!D$33=TRUE,'Overflows Worksheet'!K36,'Overflows Worksheet'!T36)</f>
        <v>0</v>
      </c>
      <c r="J98" s="1525"/>
      <c r="K98" s="853">
        <f>LOOKUP(C44,Cities!A$3:A$343,Cities!D$3:D$343)</f>
        <v>0</v>
      </c>
      <c r="L98" s="1522">
        <f t="shared" si="13"/>
        <v>0</v>
      </c>
      <c r="M98" s="1523"/>
      <c r="N98" s="339">
        <f>LOOKUP($C44,Cities!$A$3:$A$356,Cities!$V$3:$V$356)</f>
        <v>0</v>
      </c>
      <c r="O98" s="936" t="str">
        <f t="shared" si="14"/>
        <v/>
      </c>
      <c r="Q98" s="785">
        <f t="shared" si="15"/>
        <v>0</v>
      </c>
      <c r="R98" s="171"/>
    </row>
    <row r="99" spans="1:18" ht="15" x14ac:dyDescent="0.2">
      <c r="A99" s="325">
        <v>34</v>
      </c>
      <c r="B99" s="336" t="str">
        <f>IF(C99=1,"",LOOKUP(C99,Cities!A$3:A$343,Cities!C$3:C$343))</f>
        <v/>
      </c>
      <c r="C99" s="338">
        <f t="shared" si="11"/>
        <v>1</v>
      </c>
      <c r="D99" s="337">
        <f t="shared" si="12"/>
        <v>0</v>
      </c>
      <c r="E99" s="812">
        <f>ROUND('Print Return'!$L$37*Overflow!M45,0)</f>
        <v>0</v>
      </c>
      <c r="F99" s="955"/>
      <c r="G99" s="1524"/>
      <c r="H99" s="1524"/>
      <c r="I99" s="1525">
        <f>IF(Data!D$33=TRUE,'Overflows Worksheet'!K37,'Overflows Worksheet'!T37)</f>
        <v>0</v>
      </c>
      <c r="J99" s="1525"/>
      <c r="K99" s="853">
        <f>LOOKUP(C45,Cities!A$3:A$343,Cities!D$3:D$343)</f>
        <v>0</v>
      </c>
      <c r="L99" s="1522">
        <f t="shared" si="13"/>
        <v>0</v>
      </c>
      <c r="M99" s="1523"/>
      <c r="N99" s="339">
        <f>LOOKUP($C45,Cities!$A$3:$A$356,Cities!$V$3:$V$356)</f>
        <v>0</v>
      </c>
      <c r="O99" s="936" t="str">
        <f t="shared" si="14"/>
        <v/>
      </c>
      <c r="Q99" s="785">
        <f t="shared" si="15"/>
        <v>0</v>
      </c>
      <c r="R99" s="171"/>
    </row>
    <row r="100" spans="1:18" ht="15" x14ac:dyDescent="0.2">
      <c r="A100" s="325">
        <v>35</v>
      </c>
      <c r="B100" s="336" t="str">
        <f>IF(C100=1,"",LOOKUP(C100,Cities!A$3:A$343,Cities!C$3:C$343))</f>
        <v/>
      </c>
      <c r="C100" s="338">
        <f t="shared" si="11"/>
        <v>1</v>
      </c>
      <c r="D100" s="337">
        <f t="shared" si="12"/>
        <v>0</v>
      </c>
      <c r="E100" s="812">
        <f>ROUND('Print Return'!$L$37*Overflow!M46,0)</f>
        <v>0</v>
      </c>
      <c r="F100" s="955"/>
      <c r="G100" s="1524"/>
      <c r="H100" s="1524"/>
      <c r="I100" s="1525">
        <f>IF(Data!D$33=TRUE,'Overflows Worksheet'!K38,'Overflows Worksheet'!T38)</f>
        <v>0</v>
      </c>
      <c r="J100" s="1525"/>
      <c r="K100" s="853">
        <f>LOOKUP(C46,Cities!A$3:A$343,Cities!D$3:D$343)</f>
        <v>0</v>
      </c>
      <c r="L100" s="1522">
        <f t="shared" si="13"/>
        <v>0</v>
      </c>
      <c r="M100" s="1523"/>
      <c r="N100" s="339">
        <f>LOOKUP($C46,Cities!$A$3:$A$356,Cities!$V$3:$V$356)</f>
        <v>0</v>
      </c>
      <c r="O100" s="936" t="str">
        <f t="shared" si="14"/>
        <v/>
      </c>
      <c r="Q100" s="785">
        <f t="shared" si="15"/>
        <v>0</v>
      </c>
      <c r="R100" s="171"/>
    </row>
    <row r="101" spans="1:18" ht="15" x14ac:dyDescent="0.2">
      <c r="A101" s="325">
        <v>36</v>
      </c>
      <c r="B101" s="336" t="str">
        <f>IF(C101=1,"",LOOKUP(C101,Cities!A$3:A$343,Cities!C$3:C$343))</f>
        <v/>
      </c>
      <c r="C101" s="338">
        <f t="shared" si="11"/>
        <v>1</v>
      </c>
      <c r="D101" s="337">
        <f t="shared" si="12"/>
        <v>0</v>
      </c>
      <c r="E101" s="812">
        <f>ROUND('Print Return'!$L$37*Overflow!M47,0)</f>
        <v>0</v>
      </c>
      <c r="F101" s="955"/>
      <c r="G101" s="1524"/>
      <c r="H101" s="1524"/>
      <c r="I101" s="1525">
        <f>IF(Data!D$33=TRUE,'Overflows Worksheet'!K39,'Overflows Worksheet'!T39)</f>
        <v>0</v>
      </c>
      <c r="J101" s="1525"/>
      <c r="K101" s="853">
        <f>LOOKUP(C47,Cities!A$3:A$343,Cities!D$3:D$343)</f>
        <v>0</v>
      </c>
      <c r="L101" s="1522">
        <f t="shared" si="13"/>
        <v>0</v>
      </c>
      <c r="M101" s="1523"/>
      <c r="N101" s="339">
        <f>LOOKUP($C47,Cities!$A$3:$A$356,Cities!$V$3:$V$356)</f>
        <v>0</v>
      </c>
      <c r="O101" s="936" t="str">
        <f t="shared" si="14"/>
        <v/>
      </c>
      <c r="Q101" s="785">
        <f t="shared" si="15"/>
        <v>0</v>
      </c>
      <c r="R101" s="171"/>
    </row>
    <row r="102" spans="1:18" ht="15" x14ac:dyDescent="0.2">
      <c r="A102" s="325">
        <v>37</v>
      </c>
      <c r="B102" s="336" t="str">
        <f>IF(C102=1,"",LOOKUP(C102,Cities!A$3:A$343,Cities!C$3:C$343))</f>
        <v/>
      </c>
      <c r="C102" s="338">
        <f t="shared" si="11"/>
        <v>1</v>
      </c>
      <c r="D102" s="337">
        <f t="shared" si="12"/>
        <v>0</v>
      </c>
      <c r="E102" s="812">
        <f>ROUND('Print Return'!$L$37*Overflow!M48,0)</f>
        <v>0</v>
      </c>
      <c r="F102" s="955"/>
      <c r="G102" s="1524"/>
      <c r="H102" s="1524"/>
      <c r="I102" s="1525">
        <f>IF(Data!D$33=TRUE,'Overflows Worksheet'!K40,'Overflows Worksheet'!T40)</f>
        <v>0</v>
      </c>
      <c r="J102" s="1525"/>
      <c r="K102" s="853">
        <f>LOOKUP(C48,Cities!A$3:A$343,Cities!D$3:D$343)</f>
        <v>0</v>
      </c>
      <c r="L102" s="1522">
        <f t="shared" si="13"/>
        <v>0</v>
      </c>
      <c r="M102" s="1523"/>
      <c r="N102" s="339">
        <f>LOOKUP($C48,Cities!$A$3:$A$356,Cities!$V$3:$V$356)</f>
        <v>0</v>
      </c>
      <c r="O102" s="936" t="str">
        <f t="shared" si="14"/>
        <v/>
      </c>
      <c r="Q102" s="785">
        <f t="shared" si="15"/>
        <v>0</v>
      </c>
      <c r="R102" s="171"/>
    </row>
    <row r="103" spans="1:18" ht="15" x14ac:dyDescent="0.2">
      <c r="A103" s="325">
        <v>38</v>
      </c>
      <c r="B103" s="336" t="str">
        <f>IF(C103=1,"",LOOKUP(C103,Cities!A$3:A$343,Cities!C$3:C$343))</f>
        <v/>
      </c>
      <c r="C103" s="338">
        <f t="shared" si="11"/>
        <v>1</v>
      </c>
      <c r="D103" s="337">
        <f t="shared" si="12"/>
        <v>0</v>
      </c>
      <c r="E103" s="812">
        <f>ROUND('Print Return'!$L$37*Overflow!M49,0)</f>
        <v>0</v>
      </c>
      <c r="F103" s="955"/>
      <c r="G103" s="1524"/>
      <c r="H103" s="1524"/>
      <c r="I103" s="1525">
        <f>IF(Data!D$33=TRUE,'Overflows Worksheet'!K41,'Overflows Worksheet'!T41)</f>
        <v>0</v>
      </c>
      <c r="J103" s="1525"/>
      <c r="K103" s="853">
        <f>LOOKUP(C49,Cities!A$3:A$343,Cities!D$3:D$343)</f>
        <v>0</v>
      </c>
      <c r="L103" s="1522">
        <f t="shared" si="13"/>
        <v>0</v>
      </c>
      <c r="M103" s="1523"/>
      <c r="N103" s="339">
        <f>LOOKUP($C49,Cities!$A$3:$A$356,Cities!$V$3:$V$356)</f>
        <v>0</v>
      </c>
      <c r="O103" s="936" t="str">
        <f t="shared" si="14"/>
        <v/>
      </c>
      <c r="Q103" s="785">
        <f t="shared" si="15"/>
        <v>0</v>
      </c>
      <c r="R103" s="171"/>
    </row>
    <row r="104" spans="1:18" ht="15" x14ac:dyDescent="0.2">
      <c r="A104" s="325">
        <v>39</v>
      </c>
      <c r="B104" s="336" t="str">
        <f>IF(C104=1,"",LOOKUP(C104,Cities!A$3:A$343,Cities!C$3:C$343))</f>
        <v/>
      </c>
      <c r="C104" s="338">
        <f t="shared" si="11"/>
        <v>1</v>
      </c>
      <c r="D104" s="337">
        <f t="shared" si="12"/>
        <v>0</v>
      </c>
      <c r="E104" s="812">
        <f>ROUND('Print Return'!$L$37*Overflow!M50,0)</f>
        <v>0</v>
      </c>
      <c r="F104" s="955"/>
      <c r="G104" s="1524"/>
      <c r="H104" s="1524"/>
      <c r="I104" s="1525">
        <f>IF(Data!D$33=TRUE,'Overflows Worksheet'!K42,'Overflows Worksheet'!T42)</f>
        <v>0</v>
      </c>
      <c r="J104" s="1525"/>
      <c r="K104" s="853">
        <f>LOOKUP(C50,Cities!A$3:A$343,Cities!D$3:D$343)</f>
        <v>0</v>
      </c>
      <c r="L104" s="1522">
        <f t="shared" si="13"/>
        <v>0</v>
      </c>
      <c r="M104" s="1523"/>
      <c r="N104" s="339">
        <f>LOOKUP($C50,Cities!$A$3:$A$356,Cities!$V$3:$V$356)</f>
        <v>0</v>
      </c>
      <c r="O104" s="936" t="str">
        <f t="shared" si="14"/>
        <v/>
      </c>
      <c r="Q104" s="785">
        <f t="shared" si="15"/>
        <v>0</v>
      </c>
      <c r="R104" s="171"/>
    </row>
    <row r="105" spans="1:18" ht="15" x14ac:dyDescent="0.2">
      <c r="A105" s="325">
        <v>40</v>
      </c>
      <c r="B105" s="336" t="str">
        <f>IF(C105=1,"",LOOKUP(C105,Cities!A$3:A$343,Cities!C$3:C$343))</f>
        <v/>
      </c>
      <c r="C105" s="338">
        <f t="shared" si="11"/>
        <v>1</v>
      </c>
      <c r="D105" s="337">
        <f t="shared" si="12"/>
        <v>0</v>
      </c>
      <c r="E105" s="812">
        <f>ROUND('Print Return'!$L$37*Overflow!M51,0)</f>
        <v>0</v>
      </c>
      <c r="F105" s="955"/>
      <c r="G105" s="1524"/>
      <c r="H105" s="1524"/>
      <c r="I105" s="1525">
        <f>IF(Data!D$33=TRUE,'Overflows Worksheet'!K43,'Overflows Worksheet'!T43)</f>
        <v>0</v>
      </c>
      <c r="J105" s="1525"/>
      <c r="K105" s="853">
        <f>LOOKUP(C51,Cities!A$3:A$343,Cities!D$3:D$343)</f>
        <v>0</v>
      </c>
      <c r="L105" s="1522">
        <f t="shared" si="13"/>
        <v>0</v>
      </c>
      <c r="M105" s="1523"/>
      <c r="N105" s="339">
        <f>LOOKUP($C51,Cities!$A$3:$A$356,Cities!$V$3:$V$356)</f>
        <v>0</v>
      </c>
      <c r="O105" s="936" t="str">
        <f t="shared" si="14"/>
        <v/>
      </c>
      <c r="Q105" s="785">
        <f t="shared" si="15"/>
        <v>0</v>
      </c>
      <c r="R105" s="171"/>
    </row>
    <row r="106" spans="1:18" ht="15" x14ac:dyDescent="0.2">
      <c r="A106" s="325">
        <v>41</v>
      </c>
      <c r="B106" s="336" t="str">
        <f>IF(C106=1,"",LOOKUP(C106,Cities!A$3:A$343,Cities!C$3:C$343))</f>
        <v/>
      </c>
      <c r="C106" s="338">
        <f t="shared" si="11"/>
        <v>1</v>
      </c>
      <c r="D106" s="337">
        <f t="shared" si="12"/>
        <v>0</v>
      </c>
      <c r="E106" s="812">
        <f>ROUND('Print Return'!$L$37*Overflow!M52,0)</f>
        <v>0</v>
      </c>
      <c r="F106" s="955"/>
      <c r="G106" s="1524"/>
      <c r="H106" s="1524"/>
      <c r="I106" s="1525">
        <f>IF(Data!D$33=TRUE,'Overflows Worksheet'!K44,'Overflows Worksheet'!T44)</f>
        <v>0</v>
      </c>
      <c r="J106" s="1525"/>
      <c r="K106" s="853">
        <f>LOOKUP(C52,Cities!A$3:A$343,Cities!D$3:D$343)</f>
        <v>0</v>
      </c>
      <c r="L106" s="1522">
        <f t="shared" si="13"/>
        <v>0</v>
      </c>
      <c r="M106" s="1523"/>
      <c r="N106" s="339">
        <f>LOOKUP($C52,Cities!$A$3:$A$356,Cities!$V$3:$V$356)</f>
        <v>0</v>
      </c>
      <c r="O106" s="936" t="str">
        <f t="shared" si="14"/>
        <v/>
      </c>
      <c r="Q106" s="785">
        <f t="shared" si="15"/>
        <v>0</v>
      </c>
      <c r="R106" s="171"/>
    </row>
    <row r="107" spans="1:18" ht="15" x14ac:dyDescent="0.2">
      <c r="A107" s="325">
        <v>42</v>
      </c>
      <c r="B107" s="336" t="str">
        <f>IF(C107=1,"",LOOKUP(C107,Cities!A$3:A$343,Cities!C$3:C$343))</f>
        <v/>
      </c>
      <c r="C107" s="338">
        <f t="shared" si="11"/>
        <v>1</v>
      </c>
      <c r="D107" s="337">
        <f t="shared" si="12"/>
        <v>0</v>
      </c>
      <c r="E107" s="812">
        <f>ROUND('Print Return'!$L$37*Overflow!M53,0)</f>
        <v>0</v>
      </c>
      <c r="F107" s="955"/>
      <c r="G107" s="1524"/>
      <c r="H107" s="1524"/>
      <c r="I107" s="1525">
        <f>IF(Data!D$33=TRUE,'Overflows Worksheet'!K45,'Overflows Worksheet'!T45)</f>
        <v>0</v>
      </c>
      <c r="J107" s="1525"/>
      <c r="K107" s="853">
        <f>LOOKUP(C53,Cities!A$3:A$343,Cities!D$3:D$343)</f>
        <v>0</v>
      </c>
      <c r="L107" s="1522">
        <f t="shared" si="13"/>
        <v>0</v>
      </c>
      <c r="M107" s="1523"/>
      <c r="N107" s="339">
        <f>LOOKUP($C53,Cities!$A$3:$A$356,Cities!$V$3:$V$356)</f>
        <v>0</v>
      </c>
      <c r="O107" s="936" t="str">
        <f t="shared" si="14"/>
        <v/>
      </c>
      <c r="Q107" s="785">
        <f t="shared" si="15"/>
        <v>0</v>
      </c>
      <c r="R107" s="171"/>
    </row>
    <row r="108" spans="1:18" ht="15" x14ac:dyDescent="0.2">
      <c r="A108" s="325">
        <v>43</v>
      </c>
      <c r="B108" s="336" t="str">
        <f>IF(C108=1,"",LOOKUP(C108,Cities!A$3:A$343,Cities!C$3:C$343))</f>
        <v/>
      </c>
      <c r="C108" s="338">
        <f t="shared" si="11"/>
        <v>1</v>
      </c>
      <c r="D108" s="337">
        <f t="shared" si="12"/>
        <v>0</v>
      </c>
      <c r="E108" s="812">
        <f>ROUND('Print Return'!$L$37*Overflow!M54,0)</f>
        <v>0</v>
      </c>
      <c r="F108" s="955"/>
      <c r="G108" s="1524"/>
      <c r="H108" s="1524"/>
      <c r="I108" s="1525">
        <f>IF(Data!D$33=TRUE,'Overflows Worksheet'!K46,'Overflows Worksheet'!T46)</f>
        <v>0</v>
      </c>
      <c r="J108" s="1525"/>
      <c r="K108" s="853">
        <f>LOOKUP(C54,Cities!A$3:A$343,Cities!D$3:D$343)</f>
        <v>0</v>
      </c>
      <c r="L108" s="1522">
        <f t="shared" si="13"/>
        <v>0</v>
      </c>
      <c r="M108" s="1523"/>
      <c r="N108" s="339">
        <f>LOOKUP($C54,Cities!$A$3:$A$356,Cities!$V$3:$V$356)</f>
        <v>0</v>
      </c>
      <c r="O108" s="936" t="str">
        <f t="shared" si="14"/>
        <v/>
      </c>
      <c r="Q108" s="785">
        <f t="shared" si="15"/>
        <v>0</v>
      </c>
      <c r="R108" s="171"/>
    </row>
    <row r="109" spans="1:18" ht="15" x14ac:dyDescent="0.2">
      <c r="A109" s="325">
        <v>44</v>
      </c>
      <c r="B109" s="336" t="str">
        <f>IF(C109=1,"",LOOKUP(C109,Cities!A$3:A$343,Cities!C$3:C$343))</f>
        <v/>
      </c>
      <c r="C109" s="338">
        <f t="shared" si="11"/>
        <v>1</v>
      </c>
      <c r="D109" s="337">
        <f t="shared" si="12"/>
        <v>0</v>
      </c>
      <c r="E109" s="812">
        <f>ROUND('Print Return'!$L$37*Overflow!M55,0)</f>
        <v>0</v>
      </c>
      <c r="F109" s="955"/>
      <c r="G109" s="1524"/>
      <c r="H109" s="1524"/>
      <c r="I109" s="1525">
        <f>IF(Data!D$33=TRUE,'Overflows Worksheet'!K47,'Overflows Worksheet'!T47)</f>
        <v>0</v>
      </c>
      <c r="J109" s="1525"/>
      <c r="K109" s="853">
        <f>LOOKUP(C55,Cities!A$3:A$343,Cities!D$3:D$343)</f>
        <v>0</v>
      </c>
      <c r="L109" s="1522">
        <f t="shared" si="13"/>
        <v>0</v>
      </c>
      <c r="M109" s="1523"/>
      <c r="N109" s="339">
        <f>LOOKUP($C55,Cities!$A$3:$A$356,Cities!$V$3:$V$356)</f>
        <v>0</v>
      </c>
      <c r="O109" s="936" t="str">
        <f t="shared" si="14"/>
        <v/>
      </c>
      <c r="Q109" s="785">
        <f t="shared" si="15"/>
        <v>0</v>
      </c>
      <c r="R109" s="171"/>
    </row>
    <row r="110" spans="1:18" ht="15.75" thickBot="1" x14ac:dyDescent="0.25">
      <c r="A110" s="325">
        <v>45</v>
      </c>
      <c r="B110" s="336" t="str">
        <f>IF(C110=1,"",LOOKUP(C110,Cities!A$3:A$343,Cities!C$3:C$343))</f>
        <v/>
      </c>
      <c r="C110" s="338">
        <f t="shared" si="11"/>
        <v>1</v>
      </c>
      <c r="D110" s="337">
        <f t="shared" si="12"/>
        <v>0</v>
      </c>
      <c r="E110" s="814">
        <f>ROUND('Print Return'!$L$37*Overflow!M56,0)</f>
        <v>0</v>
      </c>
      <c r="F110" s="956"/>
      <c r="G110" s="1564"/>
      <c r="H110" s="1564"/>
      <c r="I110" s="1525">
        <f>IF(Data!D$33=TRUE,'Overflows Worksheet'!K48,'Overflows Worksheet'!T48)</f>
        <v>0</v>
      </c>
      <c r="J110" s="1525"/>
      <c r="K110" s="854">
        <f>LOOKUP(C56,Cities!A$3:A$343,Cities!D$3:D$343)</f>
        <v>0</v>
      </c>
      <c r="L110" s="1562">
        <f t="shared" si="13"/>
        <v>0</v>
      </c>
      <c r="M110" s="1563"/>
      <c r="N110" s="339">
        <f>LOOKUP($C56,Cities!$A$3:$A$356,Cities!$V$3:$V$356)</f>
        <v>0</v>
      </c>
      <c r="O110" s="936" t="str">
        <f t="shared" si="14"/>
        <v/>
      </c>
      <c r="Q110" s="785">
        <f t="shared" si="15"/>
        <v>0</v>
      </c>
      <c r="R110" s="171"/>
    </row>
    <row r="111" spans="1:18" ht="15" x14ac:dyDescent="0.2">
      <c r="B111" s="6" t="s">
        <v>1791</v>
      </c>
      <c r="C111" s="6"/>
      <c r="D111" s="6"/>
      <c r="E111" s="917">
        <f>SUM(E66:E110)</f>
        <v>0</v>
      </c>
      <c r="F111" s="957">
        <f>MAX(F66:F110)</f>
        <v>0</v>
      </c>
      <c r="G111" s="1561">
        <f>SUM(G66:G110)</f>
        <v>0</v>
      </c>
      <c r="H111" s="1561"/>
      <c r="I111" s="1561">
        <f>SUM(I66:I110)</f>
        <v>0</v>
      </c>
      <c r="J111" s="1561"/>
      <c r="K111" s="855"/>
      <c r="L111" s="1561">
        <f>SUM(L66:L110)</f>
        <v>0</v>
      </c>
      <c r="M111" s="1561"/>
      <c r="O111" s="786"/>
      <c r="P111" s="171"/>
      <c r="Q111" s="785">
        <f>SUM(Q66:Q110)</f>
        <v>0</v>
      </c>
      <c r="R111" s="171"/>
    </row>
    <row r="112" spans="1:18" s="6" customFormat="1" ht="45.75" x14ac:dyDescent="0.25">
      <c r="C112" s="13"/>
      <c r="D112" s="13"/>
      <c r="E112" s="918" t="s">
        <v>1790</v>
      </c>
      <c r="F112" s="919">
        <f>+MAX(F111,'Overflow (2)'!F111,'Overflow (3)'!F111,'Overflow (4)'!F111,'Overflow (5)'!F111,'Overflow (6)'!F111,'Overflow (7)'!F111,'Overflow (8)'!F111)</f>
        <v>0</v>
      </c>
      <c r="O112" s="850"/>
      <c r="P112" s="602"/>
      <c r="Q112" s="602"/>
      <c r="R112" s="602"/>
    </row>
    <row r="113" spans="5:13" ht="56.25" x14ac:dyDescent="0.2">
      <c r="E113" s="918" t="s">
        <v>1794</v>
      </c>
      <c r="F113" s="919">
        <f>'Overflows Worksheet'!I400</f>
        <v>0</v>
      </c>
      <c r="G113" s="1520" t="s">
        <v>1795</v>
      </c>
      <c r="H113" s="1521"/>
      <c r="I113" s="1521"/>
      <c r="J113" s="1521"/>
      <c r="K113" s="1521"/>
      <c r="L113" s="1521"/>
      <c r="M113" s="1521"/>
    </row>
    <row r="120" spans="5:13" ht="3" customHeight="1" x14ac:dyDescent="0.2"/>
    <row r="121" spans="5:13" ht="4.5" customHeight="1" x14ac:dyDescent="0.2"/>
  </sheetData>
  <sheetProtection algorithmName="SHA-512" hashValue="YQPB6tYxRgMATM+UYHNliDX3LTmKxG33zbt2RzB2jdQX19LaHwN6HQxPYWAkK9gc1z56aUEOCFJLrmzP/vA/Hg==" saltValue="CWtSG29cukcsGN9WAqJRRw==" spinCount="100000" sheet="1" objects="1" scenarios="1"/>
  <mergeCells count="171">
    <mergeCell ref="I105:J105"/>
    <mergeCell ref="L105:M105"/>
    <mergeCell ref="G103:H103"/>
    <mergeCell ref="I103:J103"/>
    <mergeCell ref="L103:M103"/>
    <mergeCell ref="G104:H104"/>
    <mergeCell ref="I104:J104"/>
    <mergeCell ref="L104:M104"/>
    <mergeCell ref="G102:H102"/>
    <mergeCell ref="I102:J102"/>
    <mergeCell ref="L102:M102"/>
    <mergeCell ref="I96:J96"/>
    <mergeCell ref="L96:M96"/>
    <mergeCell ref="G97:H97"/>
    <mergeCell ref="I97:J97"/>
    <mergeCell ref="L97:M97"/>
    <mergeCell ref="I101:J101"/>
    <mergeCell ref="L101:M101"/>
    <mergeCell ref="G93:H93"/>
    <mergeCell ref="I93:J93"/>
    <mergeCell ref="L93:M93"/>
    <mergeCell ref="G94:H94"/>
    <mergeCell ref="I94:J94"/>
    <mergeCell ref="L94:M94"/>
    <mergeCell ref="I95:J95"/>
    <mergeCell ref="L95:M95"/>
    <mergeCell ref="I98:J98"/>
    <mergeCell ref="L98:M98"/>
    <mergeCell ref="G99:H99"/>
    <mergeCell ref="I99:J99"/>
    <mergeCell ref="L99:M99"/>
    <mergeCell ref="G100:H100"/>
    <mergeCell ref="I100:J100"/>
    <mergeCell ref="L100:M100"/>
    <mergeCell ref="G96:H96"/>
    <mergeCell ref="G90:H90"/>
    <mergeCell ref="I90:J90"/>
    <mergeCell ref="L90:M90"/>
    <mergeCell ref="G91:H91"/>
    <mergeCell ref="I91:J91"/>
    <mergeCell ref="L91:M91"/>
    <mergeCell ref="I89:J89"/>
    <mergeCell ref="I92:J92"/>
    <mergeCell ref="L92:M92"/>
    <mergeCell ref="I82:J82"/>
    <mergeCell ref="G86:H86"/>
    <mergeCell ref="I86:J86"/>
    <mergeCell ref="I81:J81"/>
    <mergeCell ref="I83:J83"/>
    <mergeCell ref="I85:J85"/>
    <mergeCell ref="I84:J84"/>
    <mergeCell ref="I88:J88"/>
    <mergeCell ref="L88:M88"/>
    <mergeCell ref="I87:J87"/>
    <mergeCell ref="I74:J74"/>
    <mergeCell ref="I75:J75"/>
    <mergeCell ref="I76:J76"/>
    <mergeCell ref="I77:J77"/>
    <mergeCell ref="I78:J78"/>
    <mergeCell ref="I79:J79"/>
    <mergeCell ref="I80:J80"/>
    <mergeCell ref="I111:J111"/>
    <mergeCell ref="G80:H80"/>
    <mergeCell ref="G111:H111"/>
    <mergeCell ref="G81:H81"/>
    <mergeCell ref="G83:H83"/>
    <mergeCell ref="G85:H85"/>
    <mergeCell ref="G87:H87"/>
    <mergeCell ref="G89:H89"/>
    <mergeCell ref="G84:H84"/>
    <mergeCell ref="G88:H88"/>
    <mergeCell ref="G92:H92"/>
    <mergeCell ref="G95:H95"/>
    <mergeCell ref="G98:H98"/>
    <mergeCell ref="G105:H105"/>
    <mergeCell ref="G110:H110"/>
    <mergeCell ref="G101:H101"/>
    <mergeCell ref="G82:H82"/>
    <mergeCell ref="I66:J66"/>
    <mergeCell ref="I67:J67"/>
    <mergeCell ref="L77:M77"/>
    <mergeCell ref="L78:M78"/>
    <mergeCell ref="L79:M79"/>
    <mergeCell ref="L80:M80"/>
    <mergeCell ref="L111:M111"/>
    <mergeCell ref="L84:M84"/>
    <mergeCell ref="L85:M85"/>
    <mergeCell ref="L87:M87"/>
    <mergeCell ref="L89:M89"/>
    <mergeCell ref="L108:M108"/>
    <mergeCell ref="L110:M110"/>
    <mergeCell ref="L81:M81"/>
    <mergeCell ref="L82:M82"/>
    <mergeCell ref="L83:M83"/>
    <mergeCell ref="L86:M86"/>
    <mergeCell ref="L109:M109"/>
    <mergeCell ref="I68:J68"/>
    <mergeCell ref="I69:J69"/>
    <mergeCell ref="I70:J70"/>
    <mergeCell ref="I71:J71"/>
    <mergeCell ref="I72:J72"/>
    <mergeCell ref="I73:J73"/>
    <mergeCell ref="A1:B1"/>
    <mergeCell ref="K4:M4"/>
    <mergeCell ref="D1:K2"/>
    <mergeCell ref="A2:B2"/>
    <mergeCell ref="B4:J4"/>
    <mergeCell ref="D64:D65"/>
    <mergeCell ref="L65:M65"/>
    <mergeCell ref="B6:B8"/>
    <mergeCell ref="A59:B59"/>
    <mergeCell ref="D10:D11"/>
    <mergeCell ref="A60:B60"/>
    <mergeCell ref="L1:M1"/>
    <mergeCell ref="L2:M2"/>
    <mergeCell ref="L59:M59"/>
    <mergeCell ref="L60:M60"/>
    <mergeCell ref="F64:F65"/>
    <mergeCell ref="E64:E65"/>
    <mergeCell ref="G64:H65"/>
    <mergeCell ref="I64:J65"/>
    <mergeCell ref="D59:J60"/>
    <mergeCell ref="K58:K59"/>
    <mergeCell ref="G107:H107"/>
    <mergeCell ref="I107:J107"/>
    <mergeCell ref="L107:M107"/>
    <mergeCell ref="E6:F6"/>
    <mergeCell ref="E7:F7"/>
    <mergeCell ref="I10:J10"/>
    <mergeCell ref="K10:L10"/>
    <mergeCell ref="E8:F8"/>
    <mergeCell ref="I6:J6"/>
    <mergeCell ref="I8:J8"/>
    <mergeCell ref="E10:H10"/>
    <mergeCell ref="L106:M106"/>
    <mergeCell ref="B62:J62"/>
    <mergeCell ref="K62:M62"/>
    <mergeCell ref="L64:M64"/>
    <mergeCell ref="L66:M66"/>
    <mergeCell ref="L67:M67"/>
    <mergeCell ref="L68:M68"/>
    <mergeCell ref="L69:M69"/>
    <mergeCell ref="L73:M73"/>
    <mergeCell ref="L74:M74"/>
    <mergeCell ref="L70:M70"/>
    <mergeCell ref="L75:M75"/>
    <mergeCell ref="L76:M76"/>
    <mergeCell ref="G113:M113"/>
    <mergeCell ref="L71:M71"/>
    <mergeCell ref="L72:M72"/>
    <mergeCell ref="G66:H66"/>
    <mergeCell ref="G67:H67"/>
    <mergeCell ref="I110:J110"/>
    <mergeCell ref="G108:H108"/>
    <mergeCell ref="I108:J108"/>
    <mergeCell ref="G106:H106"/>
    <mergeCell ref="I106:J106"/>
    <mergeCell ref="G109:H109"/>
    <mergeCell ref="I109:J109"/>
    <mergeCell ref="G68:H68"/>
    <mergeCell ref="G69:H69"/>
    <mergeCell ref="G70:H70"/>
    <mergeCell ref="G71:H71"/>
    <mergeCell ref="G72:H72"/>
    <mergeCell ref="G73:H73"/>
    <mergeCell ref="G74:H74"/>
    <mergeCell ref="G75:H75"/>
    <mergeCell ref="G76:H76"/>
    <mergeCell ref="G77:H77"/>
    <mergeCell ref="G78:H78"/>
    <mergeCell ref="G79:H79"/>
  </mergeCells>
  <phoneticPr fontId="2" type="noConversion"/>
  <conditionalFormatting sqref="G66:H110">
    <cfRule type="expression" dxfId="31" priority="1" stopIfTrue="1">
      <formula>$N66=0</formula>
    </cfRule>
  </conditionalFormatting>
  <conditionalFormatting sqref="E66:E110 I66:L110">
    <cfRule type="expression" dxfId="30" priority="2" stopIfTrue="1">
      <formula>$D66=0</formula>
    </cfRule>
  </conditionalFormatting>
  <conditionalFormatting sqref="N66:N110">
    <cfRule type="expression" dxfId="29" priority="3" stopIfTrue="1">
      <formula>"LOOKUP(C12,Cities!$A$3:$A$169,Cities!$L$3:$L$169)=0"</formula>
    </cfRule>
  </conditionalFormatting>
  <pageMargins left="0.5" right="0.5" top="0.5" bottom="0.5" header="0.5" footer="0.5"/>
  <pageSetup scale="75" orientation="portrait" r:id="rId1"/>
  <headerFooter alignWithMargins="0"/>
  <rowBreaks count="1" manualBreakCount="1">
    <brk id="5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6145" r:id="rId4" name="Drop Down 1">
              <controlPr defaultSize="0" autoLine="0" autoPict="0">
                <anchor moveWithCells="1">
                  <from>
                    <xdr:col>1</xdr:col>
                    <xdr:colOff>9525</xdr:colOff>
                    <xdr:row>11</xdr:row>
                    <xdr:rowOff>9525</xdr:rowOff>
                  </from>
                  <to>
                    <xdr:col>1</xdr:col>
                    <xdr:colOff>1924050</xdr:colOff>
                    <xdr:row>11</xdr:row>
                    <xdr:rowOff>209550</xdr:rowOff>
                  </to>
                </anchor>
              </controlPr>
            </control>
          </mc:Choice>
        </mc:AlternateContent>
        <mc:AlternateContent xmlns:mc="http://schemas.openxmlformats.org/markup-compatibility/2006">
          <mc:Choice Requires="x14">
            <control shapeId="6146" r:id="rId5" name="Drop Down 2">
              <controlPr defaultSize="0" autoLine="0" autoPict="0">
                <anchor moveWithCells="1">
                  <from>
                    <xdr:col>1</xdr:col>
                    <xdr:colOff>9525</xdr:colOff>
                    <xdr:row>12</xdr:row>
                    <xdr:rowOff>9525</xdr:rowOff>
                  </from>
                  <to>
                    <xdr:col>1</xdr:col>
                    <xdr:colOff>1924050</xdr:colOff>
                    <xdr:row>12</xdr:row>
                    <xdr:rowOff>209550</xdr:rowOff>
                  </to>
                </anchor>
              </controlPr>
            </control>
          </mc:Choice>
        </mc:AlternateContent>
        <mc:AlternateContent xmlns:mc="http://schemas.openxmlformats.org/markup-compatibility/2006">
          <mc:Choice Requires="x14">
            <control shapeId="6147" r:id="rId6" name="Drop Down 3">
              <controlPr defaultSize="0" autoLine="0" autoPict="0">
                <anchor moveWithCells="1">
                  <from>
                    <xdr:col>1</xdr:col>
                    <xdr:colOff>9525</xdr:colOff>
                    <xdr:row>13</xdr:row>
                    <xdr:rowOff>19050</xdr:rowOff>
                  </from>
                  <to>
                    <xdr:col>1</xdr:col>
                    <xdr:colOff>1924050</xdr:colOff>
                    <xdr:row>13</xdr:row>
                    <xdr:rowOff>219075</xdr:rowOff>
                  </to>
                </anchor>
              </controlPr>
            </control>
          </mc:Choice>
        </mc:AlternateContent>
        <mc:AlternateContent xmlns:mc="http://schemas.openxmlformats.org/markup-compatibility/2006">
          <mc:Choice Requires="x14">
            <control shapeId="6148" r:id="rId7" name="Drop Down 4">
              <controlPr defaultSize="0" autoLine="0" autoPict="0">
                <anchor moveWithCells="1">
                  <from>
                    <xdr:col>1</xdr:col>
                    <xdr:colOff>9525</xdr:colOff>
                    <xdr:row>14</xdr:row>
                    <xdr:rowOff>19050</xdr:rowOff>
                  </from>
                  <to>
                    <xdr:col>1</xdr:col>
                    <xdr:colOff>1924050</xdr:colOff>
                    <xdr:row>14</xdr:row>
                    <xdr:rowOff>219075</xdr:rowOff>
                  </to>
                </anchor>
              </controlPr>
            </control>
          </mc:Choice>
        </mc:AlternateContent>
        <mc:AlternateContent xmlns:mc="http://schemas.openxmlformats.org/markup-compatibility/2006">
          <mc:Choice Requires="x14">
            <control shapeId="6149" r:id="rId8" name="Drop Down 5">
              <controlPr defaultSize="0" autoLine="0" autoPict="0">
                <anchor moveWithCells="1">
                  <from>
                    <xdr:col>1</xdr:col>
                    <xdr:colOff>9525</xdr:colOff>
                    <xdr:row>15</xdr:row>
                    <xdr:rowOff>19050</xdr:rowOff>
                  </from>
                  <to>
                    <xdr:col>1</xdr:col>
                    <xdr:colOff>1924050</xdr:colOff>
                    <xdr:row>15</xdr:row>
                    <xdr:rowOff>219075</xdr:rowOff>
                  </to>
                </anchor>
              </controlPr>
            </control>
          </mc:Choice>
        </mc:AlternateContent>
        <mc:AlternateContent xmlns:mc="http://schemas.openxmlformats.org/markup-compatibility/2006">
          <mc:Choice Requires="x14">
            <control shapeId="6150" r:id="rId9" name="Drop Down 6">
              <controlPr defaultSize="0" autoLine="0" autoPict="0">
                <anchor moveWithCells="1">
                  <from>
                    <xdr:col>1</xdr:col>
                    <xdr:colOff>9525</xdr:colOff>
                    <xdr:row>16</xdr:row>
                    <xdr:rowOff>19050</xdr:rowOff>
                  </from>
                  <to>
                    <xdr:col>1</xdr:col>
                    <xdr:colOff>1924050</xdr:colOff>
                    <xdr:row>16</xdr:row>
                    <xdr:rowOff>219075</xdr:rowOff>
                  </to>
                </anchor>
              </controlPr>
            </control>
          </mc:Choice>
        </mc:AlternateContent>
        <mc:AlternateContent xmlns:mc="http://schemas.openxmlformats.org/markup-compatibility/2006">
          <mc:Choice Requires="x14">
            <control shapeId="6151" r:id="rId10" name="Drop Down 7">
              <controlPr defaultSize="0" autoLine="0" autoPict="0">
                <anchor moveWithCells="1">
                  <from>
                    <xdr:col>1</xdr:col>
                    <xdr:colOff>9525</xdr:colOff>
                    <xdr:row>17</xdr:row>
                    <xdr:rowOff>19050</xdr:rowOff>
                  </from>
                  <to>
                    <xdr:col>1</xdr:col>
                    <xdr:colOff>1924050</xdr:colOff>
                    <xdr:row>17</xdr:row>
                    <xdr:rowOff>219075</xdr:rowOff>
                  </to>
                </anchor>
              </controlPr>
            </control>
          </mc:Choice>
        </mc:AlternateContent>
        <mc:AlternateContent xmlns:mc="http://schemas.openxmlformats.org/markup-compatibility/2006">
          <mc:Choice Requires="x14">
            <control shapeId="6152" r:id="rId11" name="Drop Down 8">
              <controlPr defaultSize="0" autoLine="0" autoPict="0">
                <anchor moveWithCells="1">
                  <from>
                    <xdr:col>1</xdr:col>
                    <xdr:colOff>9525</xdr:colOff>
                    <xdr:row>18</xdr:row>
                    <xdr:rowOff>19050</xdr:rowOff>
                  </from>
                  <to>
                    <xdr:col>1</xdr:col>
                    <xdr:colOff>1924050</xdr:colOff>
                    <xdr:row>18</xdr:row>
                    <xdr:rowOff>219075</xdr:rowOff>
                  </to>
                </anchor>
              </controlPr>
            </control>
          </mc:Choice>
        </mc:AlternateContent>
        <mc:AlternateContent xmlns:mc="http://schemas.openxmlformats.org/markup-compatibility/2006">
          <mc:Choice Requires="x14">
            <control shapeId="6153" r:id="rId12" name="Drop Down 9">
              <controlPr defaultSize="0" autoLine="0" autoPict="0">
                <anchor moveWithCells="1">
                  <from>
                    <xdr:col>1</xdr:col>
                    <xdr:colOff>9525</xdr:colOff>
                    <xdr:row>19</xdr:row>
                    <xdr:rowOff>28575</xdr:rowOff>
                  </from>
                  <to>
                    <xdr:col>1</xdr:col>
                    <xdr:colOff>1924050</xdr:colOff>
                    <xdr:row>20</xdr:row>
                    <xdr:rowOff>0</xdr:rowOff>
                  </to>
                </anchor>
              </controlPr>
            </control>
          </mc:Choice>
        </mc:AlternateContent>
        <mc:AlternateContent xmlns:mc="http://schemas.openxmlformats.org/markup-compatibility/2006">
          <mc:Choice Requires="x14">
            <control shapeId="6154" r:id="rId13" name="Drop Down 10">
              <controlPr defaultSize="0" autoLine="0" autoPict="0">
                <anchor moveWithCells="1">
                  <from>
                    <xdr:col>1</xdr:col>
                    <xdr:colOff>9525</xdr:colOff>
                    <xdr:row>20</xdr:row>
                    <xdr:rowOff>19050</xdr:rowOff>
                  </from>
                  <to>
                    <xdr:col>1</xdr:col>
                    <xdr:colOff>1924050</xdr:colOff>
                    <xdr:row>20</xdr:row>
                    <xdr:rowOff>219075</xdr:rowOff>
                  </to>
                </anchor>
              </controlPr>
            </control>
          </mc:Choice>
        </mc:AlternateContent>
        <mc:AlternateContent xmlns:mc="http://schemas.openxmlformats.org/markup-compatibility/2006">
          <mc:Choice Requires="x14">
            <control shapeId="6155" r:id="rId14" name="Drop Down 11">
              <controlPr defaultSize="0" autoLine="0" autoPict="0">
                <anchor moveWithCells="1">
                  <from>
                    <xdr:col>1</xdr:col>
                    <xdr:colOff>9525</xdr:colOff>
                    <xdr:row>21</xdr:row>
                    <xdr:rowOff>28575</xdr:rowOff>
                  </from>
                  <to>
                    <xdr:col>1</xdr:col>
                    <xdr:colOff>1924050</xdr:colOff>
                    <xdr:row>22</xdr:row>
                    <xdr:rowOff>0</xdr:rowOff>
                  </to>
                </anchor>
              </controlPr>
            </control>
          </mc:Choice>
        </mc:AlternateContent>
        <mc:AlternateContent xmlns:mc="http://schemas.openxmlformats.org/markup-compatibility/2006">
          <mc:Choice Requires="x14">
            <control shapeId="6156" r:id="rId15" name="Drop Down 12">
              <controlPr defaultSize="0" autoLine="0" autoPict="0">
                <anchor moveWithCells="1">
                  <from>
                    <xdr:col>1</xdr:col>
                    <xdr:colOff>9525</xdr:colOff>
                    <xdr:row>22</xdr:row>
                    <xdr:rowOff>28575</xdr:rowOff>
                  </from>
                  <to>
                    <xdr:col>1</xdr:col>
                    <xdr:colOff>1924050</xdr:colOff>
                    <xdr:row>23</xdr:row>
                    <xdr:rowOff>0</xdr:rowOff>
                  </to>
                </anchor>
              </controlPr>
            </control>
          </mc:Choice>
        </mc:AlternateContent>
        <mc:AlternateContent xmlns:mc="http://schemas.openxmlformats.org/markup-compatibility/2006">
          <mc:Choice Requires="x14">
            <control shapeId="6157" r:id="rId16" name="Drop Down 13">
              <controlPr defaultSize="0" autoLine="0" autoPict="0">
                <anchor moveWithCells="1">
                  <from>
                    <xdr:col>1</xdr:col>
                    <xdr:colOff>9525</xdr:colOff>
                    <xdr:row>23</xdr:row>
                    <xdr:rowOff>19050</xdr:rowOff>
                  </from>
                  <to>
                    <xdr:col>1</xdr:col>
                    <xdr:colOff>1924050</xdr:colOff>
                    <xdr:row>23</xdr:row>
                    <xdr:rowOff>219075</xdr:rowOff>
                  </to>
                </anchor>
              </controlPr>
            </control>
          </mc:Choice>
        </mc:AlternateContent>
        <mc:AlternateContent xmlns:mc="http://schemas.openxmlformats.org/markup-compatibility/2006">
          <mc:Choice Requires="x14">
            <control shapeId="6158" r:id="rId17" name="Drop Down 14">
              <controlPr defaultSize="0" autoLine="0" autoPict="0">
                <anchor moveWithCells="1">
                  <from>
                    <xdr:col>1</xdr:col>
                    <xdr:colOff>9525</xdr:colOff>
                    <xdr:row>24</xdr:row>
                    <xdr:rowOff>28575</xdr:rowOff>
                  </from>
                  <to>
                    <xdr:col>1</xdr:col>
                    <xdr:colOff>1924050</xdr:colOff>
                    <xdr:row>25</xdr:row>
                    <xdr:rowOff>0</xdr:rowOff>
                  </to>
                </anchor>
              </controlPr>
            </control>
          </mc:Choice>
        </mc:AlternateContent>
        <mc:AlternateContent xmlns:mc="http://schemas.openxmlformats.org/markup-compatibility/2006">
          <mc:Choice Requires="x14">
            <control shapeId="6159" r:id="rId18" name="Drop Down 15">
              <controlPr defaultSize="0" autoLine="0" autoPict="0">
                <anchor moveWithCells="1">
                  <from>
                    <xdr:col>1</xdr:col>
                    <xdr:colOff>9525</xdr:colOff>
                    <xdr:row>25</xdr:row>
                    <xdr:rowOff>19050</xdr:rowOff>
                  </from>
                  <to>
                    <xdr:col>1</xdr:col>
                    <xdr:colOff>1924050</xdr:colOff>
                    <xdr:row>25</xdr:row>
                    <xdr:rowOff>219075</xdr:rowOff>
                  </to>
                </anchor>
              </controlPr>
            </control>
          </mc:Choice>
        </mc:AlternateContent>
        <mc:AlternateContent xmlns:mc="http://schemas.openxmlformats.org/markup-compatibility/2006">
          <mc:Choice Requires="x14">
            <control shapeId="6160" r:id="rId19" name="Drop Down 16">
              <controlPr defaultSize="0" autoLine="0" autoPict="0">
                <anchor moveWithCells="1">
                  <from>
                    <xdr:col>1</xdr:col>
                    <xdr:colOff>9525</xdr:colOff>
                    <xdr:row>26</xdr:row>
                    <xdr:rowOff>19050</xdr:rowOff>
                  </from>
                  <to>
                    <xdr:col>1</xdr:col>
                    <xdr:colOff>1924050</xdr:colOff>
                    <xdr:row>26</xdr:row>
                    <xdr:rowOff>219075</xdr:rowOff>
                  </to>
                </anchor>
              </controlPr>
            </control>
          </mc:Choice>
        </mc:AlternateContent>
        <mc:AlternateContent xmlns:mc="http://schemas.openxmlformats.org/markup-compatibility/2006">
          <mc:Choice Requires="x14">
            <control shapeId="6161" r:id="rId20" name="Drop Down 17">
              <controlPr defaultSize="0" autoLine="0" autoPict="0">
                <anchor moveWithCells="1">
                  <from>
                    <xdr:col>1</xdr:col>
                    <xdr:colOff>9525</xdr:colOff>
                    <xdr:row>27</xdr:row>
                    <xdr:rowOff>19050</xdr:rowOff>
                  </from>
                  <to>
                    <xdr:col>1</xdr:col>
                    <xdr:colOff>1924050</xdr:colOff>
                    <xdr:row>27</xdr:row>
                    <xdr:rowOff>219075</xdr:rowOff>
                  </to>
                </anchor>
              </controlPr>
            </control>
          </mc:Choice>
        </mc:AlternateContent>
        <mc:AlternateContent xmlns:mc="http://schemas.openxmlformats.org/markup-compatibility/2006">
          <mc:Choice Requires="x14">
            <control shapeId="6162" r:id="rId21" name="Drop Down 18">
              <controlPr defaultSize="0" autoLine="0" autoPict="0">
                <anchor moveWithCells="1">
                  <from>
                    <xdr:col>1</xdr:col>
                    <xdr:colOff>9525</xdr:colOff>
                    <xdr:row>28</xdr:row>
                    <xdr:rowOff>19050</xdr:rowOff>
                  </from>
                  <to>
                    <xdr:col>1</xdr:col>
                    <xdr:colOff>1924050</xdr:colOff>
                    <xdr:row>28</xdr:row>
                    <xdr:rowOff>219075</xdr:rowOff>
                  </to>
                </anchor>
              </controlPr>
            </control>
          </mc:Choice>
        </mc:AlternateContent>
        <mc:AlternateContent xmlns:mc="http://schemas.openxmlformats.org/markup-compatibility/2006">
          <mc:Choice Requires="x14">
            <control shapeId="6163" r:id="rId22" name="Drop Down 19">
              <controlPr defaultSize="0" autoLine="0" autoPict="0">
                <anchor moveWithCells="1">
                  <from>
                    <xdr:col>1</xdr:col>
                    <xdr:colOff>9525</xdr:colOff>
                    <xdr:row>29</xdr:row>
                    <xdr:rowOff>19050</xdr:rowOff>
                  </from>
                  <to>
                    <xdr:col>1</xdr:col>
                    <xdr:colOff>1924050</xdr:colOff>
                    <xdr:row>29</xdr:row>
                    <xdr:rowOff>219075</xdr:rowOff>
                  </to>
                </anchor>
              </controlPr>
            </control>
          </mc:Choice>
        </mc:AlternateContent>
        <mc:AlternateContent xmlns:mc="http://schemas.openxmlformats.org/markup-compatibility/2006">
          <mc:Choice Requires="x14">
            <control shapeId="6164" r:id="rId23" name="Drop Down 20">
              <controlPr defaultSize="0" autoLine="0" autoPict="0">
                <anchor moveWithCells="1">
                  <from>
                    <xdr:col>1</xdr:col>
                    <xdr:colOff>9525</xdr:colOff>
                    <xdr:row>30</xdr:row>
                    <xdr:rowOff>19050</xdr:rowOff>
                  </from>
                  <to>
                    <xdr:col>1</xdr:col>
                    <xdr:colOff>1924050</xdr:colOff>
                    <xdr:row>30</xdr:row>
                    <xdr:rowOff>219075</xdr:rowOff>
                  </to>
                </anchor>
              </controlPr>
            </control>
          </mc:Choice>
        </mc:AlternateContent>
        <mc:AlternateContent xmlns:mc="http://schemas.openxmlformats.org/markup-compatibility/2006">
          <mc:Choice Requires="x14">
            <control shapeId="6165" r:id="rId24" name="Drop Down 21">
              <controlPr defaultSize="0" autoLine="0" autoPict="0">
                <anchor moveWithCells="1">
                  <from>
                    <xdr:col>1</xdr:col>
                    <xdr:colOff>9525</xdr:colOff>
                    <xdr:row>31</xdr:row>
                    <xdr:rowOff>19050</xdr:rowOff>
                  </from>
                  <to>
                    <xdr:col>1</xdr:col>
                    <xdr:colOff>1924050</xdr:colOff>
                    <xdr:row>31</xdr:row>
                    <xdr:rowOff>219075</xdr:rowOff>
                  </to>
                </anchor>
              </controlPr>
            </control>
          </mc:Choice>
        </mc:AlternateContent>
        <mc:AlternateContent xmlns:mc="http://schemas.openxmlformats.org/markup-compatibility/2006">
          <mc:Choice Requires="x14">
            <control shapeId="6166" r:id="rId25" name="Drop Down 22">
              <controlPr defaultSize="0" autoLine="0" autoPict="0">
                <anchor moveWithCells="1">
                  <from>
                    <xdr:col>1</xdr:col>
                    <xdr:colOff>9525</xdr:colOff>
                    <xdr:row>32</xdr:row>
                    <xdr:rowOff>19050</xdr:rowOff>
                  </from>
                  <to>
                    <xdr:col>1</xdr:col>
                    <xdr:colOff>1924050</xdr:colOff>
                    <xdr:row>32</xdr:row>
                    <xdr:rowOff>219075</xdr:rowOff>
                  </to>
                </anchor>
              </controlPr>
            </control>
          </mc:Choice>
        </mc:AlternateContent>
        <mc:AlternateContent xmlns:mc="http://schemas.openxmlformats.org/markup-compatibility/2006">
          <mc:Choice Requires="x14">
            <control shapeId="6167" r:id="rId26" name="Drop Down 23">
              <controlPr defaultSize="0" autoLine="0" autoPict="0">
                <anchor moveWithCells="1">
                  <from>
                    <xdr:col>1</xdr:col>
                    <xdr:colOff>9525</xdr:colOff>
                    <xdr:row>33</xdr:row>
                    <xdr:rowOff>19050</xdr:rowOff>
                  </from>
                  <to>
                    <xdr:col>1</xdr:col>
                    <xdr:colOff>1924050</xdr:colOff>
                    <xdr:row>33</xdr:row>
                    <xdr:rowOff>219075</xdr:rowOff>
                  </to>
                </anchor>
              </controlPr>
            </control>
          </mc:Choice>
        </mc:AlternateContent>
        <mc:AlternateContent xmlns:mc="http://schemas.openxmlformats.org/markup-compatibility/2006">
          <mc:Choice Requires="x14">
            <control shapeId="6168" r:id="rId27" name="Drop Down 24">
              <controlPr defaultSize="0" autoLine="0" autoPict="0">
                <anchor moveWithCells="1">
                  <from>
                    <xdr:col>1</xdr:col>
                    <xdr:colOff>9525</xdr:colOff>
                    <xdr:row>34</xdr:row>
                    <xdr:rowOff>19050</xdr:rowOff>
                  </from>
                  <to>
                    <xdr:col>1</xdr:col>
                    <xdr:colOff>1924050</xdr:colOff>
                    <xdr:row>34</xdr:row>
                    <xdr:rowOff>219075</xdr:rowOff>
                  </to>
                </anchor>
              </controlPr>
            </control>
          </mc:Choice>
        </mc:AlternateContent>
        <mc:AlternateContent xmlns:mc="http://schemas.openxmlformats.org/markup-compatibility/2006">
          <mc:Choice Requires="x14">
            <control shapeId="6169" r:id="rId28" name="Drop Down 25">
              <controlPr defaultSize="0" autoLine="0" autoPict="0">
                <anchor moveWithCells="1">
                  <from>
                    <xdr:col>1</xdr:col>
                    <xdr:colOff>9525</xdr:colOff>
                    <xdr:row>35</xdr:row>
                    <xdr:rowOff>19050</xdr:rowOff>
                  </from>
                  <to>
                    <xdr:col>1</xdr:col>
                    <xdr:colOff>1924050</xdr:colOff>
                    <xdr:row>35</xdr:row>
                    <xdr:rowOff>219075</xdr:rowOff>
                  </to>
                </anchor>
              </controlPr>
            </control>
          </mc:Choice>
        </mc:AlternateContent>
        <mc:AlternateContent xmlns:mc="http://schemas.openxmlformats.org/markup-compatibility/2006">
          <mc:Choice Requires="x14">
            <control shapeId="6170" r:id="rId29" name="Drop Down 26">
              <controlPr defaultSize="0" autoLine="0" autoPict="0">
                <anchor moveWithCells="1">
                  <from>
                    <xdr:col>1</xdr:col>
                    <xdr:colOff>9525</xdr:colOff>
                    <xdr:row>36</xdr:row>
                    <xdr:rowOff>19050</xdr:rowOff>
                  </from>
                  <to>
                    <xdr:col>1</xdr:col>
                    <xdr:colOff>1924050</xdr:colOff>
                    <xdr:row>36</xdr:row>
                    <xdr:rowOff>219075</xdr:rowOff>
                  </to>
                </anchor>
              </controlPr>
            </control>
          </mc:Choice>
        </mc:AlternateContent>
        <mc:AlternateContent xmlns:mc="http://schemas.openxmlformats.org/markup-compatibility/2006">
          <mc:Choice Requires="x14">
            <control shapeId="6171" r:id="rId30" name="Drop Down 27">
              <controlPr defaultSize="0" autoLine="0" autoPict="0">
                <anchor moveWithCells="1">
                  <from>
                    <xdr:col>1</xdr:col>
                    <xdr:colOff>9525</xdr:colOff>
                    <xdr:row>37</xdr:row>
                    <xdr:rowOff>19050</xdr:rowOff>
                  </from>
                  <to>
                    <xdr:col>1</xdr:col>
                    <xdr:colOff>1924050</xdr:colOff>
                    <xdr:row>37</xdr:row>
                    <xdr:rowOff>219075</xdr:rowOff>
                  </to>
                </anchor>
              </controlPr>
            </control>
          </mc:Choice>
        </mc:AlternateContent>
        <mc:AlternateContent xmlns:mc="http://schemas.openxmlformats.org/markup-compatibility/2006">
          <mc:Choice Requires="x14">
            <control shapeId="6172" r:id="rId31" name="Drop Down 28">
              <controlPr defaultSize="0" autoLine="0" autoPict="0">
                <anchor moveWithCells="1">
                  <from>
                    <xdr:col>1</xdr:col>
                    <xdr:colOff>9525</xdr:colOff>
                    <xdr:row>38</xdr:row>
                    <xdr:rowOff>19050</xdr:rowOff>
                  </from>
                  <to>
                    <xdr:col>1</xdr:col>
                    <xdr:colOff>1924050</xdr:colOff>
                    <xdr:row>38</xdr:row>
                    <xdr:rowOff>219075</xdr:rowOff>
                  </to>
                </anchor>
              </controlPr>
            </control>
          </mc:Choice>
        </mc:AlternateContent>
        <mc:AlternateContent xmlns:mc="http://schemas.openxmlformats.org/markup-compatibility/2006">
          <mc:Choice Requires="x14">
            <control shapeId="6173" r:id="rId32" name="Drop Down 29">
              <controlPr defaultSize="0" autoLine="0" autoPict="0">
                <anchor moveWithCells="1">
                  <from>
                    <xdr:col>1</xdr:col>
                    <xdr:colOff>9525</xdr:colOff>
                    <xdr:row>39</xdr:row>
                    <xdr:rowOff>19050</xdr:rowOff>
                  </from>
                  <to>
                    <xdr:col>1</xdr:col>
                    <xdr:colOff>1924050</xdr:colOff>
                    <xdr:row>39</xdr:row>
                    <xdr:rowOff>219075</xdr:rowOff>
                  </to>
                </anchor>
              </controlPr>
            </control>
          </mc:Choice>
        </mc:AlternateContent>
        <mc:AlternateContent xmlns:mc="http://schemas.openxmlformats.org/markup-compatibility/2006">
          <mc:Choice Requires="x14">
            <control shapeId="6174" r:id="rId33" name="Drop Down 30">
              <controlPr defaultSize="0" autoLine="0" autoPict="0">
                <anchor moveWithCells="1">
                  <from>
                    <xdr:col>1</xdr:col>
                    <xdr:colOff>9525</xdr:colOff>
                    <xdr:row>40</xdr:row>
                    <xdr:rowOff>19050</xdr:rowOff>
                  </from>
                  <to>
                    <xdr:col>1</xdr:col>
                    <xdr:colOff>1924050</xdr:colOff>
                    <xdr:row>40</xdr:row>
                    <xdr:rowOff>219075</xdr:rowOff>
                  </to>
                </anchor>
              </controlPr>
            </control>
          </mc:Choice>
        </mc:AlternateContent>
        <mc:AlternateContent xmlns:mc="http://schemas.openxmlformats.org/markup-compatibility/2006">
          <mc:Choice Requires="x14">
            <control shapeId="6176" r:id="rId34" name="Drop Down 32">
              <controlPr defaultSize="0" autoLine="0" autoPict="0">
                <anchor moveWithCells="1">
                  <from>
                    <xdr:col>1</xdr:col>
                    <xdr:colOff>9525</xdr:colOff>
                    <xdr:row>41</xdr:row>
                    <xdr:rowOff>19050</xdr:rowOff>
                  </from>
                  <to>
                    <xdr:col>1</xdr:col>
                    <xdr:colOff>1924050</xdr:colOff>
                    <xdr:row>41</xdr:row>
                    <xdr:rowOff>219075</xdr:rowOff>
                  </to>
                </anchor>
              </controlPr>
            </control>
          </mc:Choice>
        </mc:AlternateContent>
        <mc:AlternateContent xmlns:mc="http://schemas.openxmlformats.org/markup-compatibility/2006">
          <mc:Choice Requires="x14">
            <control shapeId="6177" r:id="rId35" name="Drop Down 33">
              <controlPr defaultSize="0" autoLine="0" autoPict="0">
                <anchor moveWithCells="1">
                  <from>
                    <xdr:col>1</xdr:col>
                    <xdr:colOff>9525</xdr:colOff>
                    <xdr:row>42</xdr:row>
                    <xdr:rowOff>19050</xdr:rowOff>
                  </from>
                  <to>
                    <xdr:col>1</xdr:col>
                    <xdr:colOff>1924050</xdr:colOff>
                    <xdr:row>42</xdr:row>
                    <xdr:rowOff>219075</xdr:rowOff>
                  </to>
                </anchor>
              </controlPr>
            </control>
          </mc:Choice>
        </mc:AlternateContent>
        <mc:AlternateContent xmlns:mc="http://schemas.openxmlformats.org/markup-compatibility/2006">
          <mc:Choice Requires="x14">
            <control shapeId="6178" r:id="rId36" name="Drop Down 34">
              <controlPr defaultSize="0" autoLine="0" autoPict="0">
                <anchor moveWithCells="1">
                  <from>
                    <xdr:col>1</xdr:col>
                    <xdr:colOff>9525</xdr:colOff>
                    <xdr:row>43</xdr:row>
                    <xdr:rowOff>19050</xdr:rowOff>
                  </from>
                  <to>
                    <xdr:col>1</xdr:col>
                    <xdr:colOff>1924050</xdr:colOff>
                    <xdr:row>43</xdr:row>
                    <xdr:rowOff>219075</xdr:rowOff>
                  </to>
                </anchor>
              </controlPr>
            </control>
          </mc:Choice>
        </mc:AlternateContent>
        <mc:AlternateContent xmlns:mc="http://schemas.openxmlformats.org/markup-compatibility/2006">
          <mc:Choice Requires="x14">
            <control shapeId="6179" r:id="rId37" name="Drop Down 35">
              <controlPr defaultSize="0" autoLine="0" autoPict="0">
                <anchor moveWithCells="1">
                  <from>
                    <xdr:col>1</xdr:col>
                    <xdr:colOff>9525</xdr:colOff>
                    <xdr:row>44</xdr:row>
                    <xdr:rowOff>19050</xdr:rowOff>
                  </from>
                  <to>
                    <xdr:col>1</xdr:col>
                    <xdr:colOff>1924050</xdr:colOff>
                    <xdr:row>44</xdr:row>
                    <xdr:rowOff>219075</xdr:rowOff>
                  </to>
                </anchor>
              </controlPr>
            </control>
          </mc:Choice>
        </mc:AlternateContent>
        <mc:AlternateContent xmlns:mc="http://schemas.openxmlformats.org/markup-compatibility/2006">
          <mc:Choice Requires="x14">
            <control shapeId="6180" r:id="rId38" name="Drop Down 36">
              <controlPr defaultSize="0" autoLine="0" autoPict="0">
                <anchor moveWithCells="1">
                  <from>
                    <xdr:col>1</xdr:col>
                    <xdr:colOff>9525</xdr:colOff>
                    <xdr:row>45</xdr:row>
                    <xdr:rowOff>19050</xdr:rowOff>
                  </from>
                  <to>
                    <xdr:col>1</xdr:col>
                    <xdr:colOff>1924050</xdr:colOff>
                    <xdr:row>45</xdr:row>
                    <xdr:rowOff>219075</xdr:rowOff>
                  </to>
                </anchor>
              </controlPr>
            </control>
          </mc:Choice>
        </mc:AlternateContent>
        <mc:AlternateContent xmlns:mc="http://schemas.openxmlformats.org/markup-compatibility/2006">
          <mc:Choice Requires="x14">
            <control shapeId="6181" r:id="rId39" name="Drop Down 37">
              <controlPr defaultSize="0" autoLine="0" autoPict="0">
                <anchor moveWithCells="1">
                  <from>
                    <xdr:col>1</xdr:col>
                    <xdr:colOff>9525</xdr:colOff>
                    <xdr:row>46</xdr:row>
                    <xdr:rowOff>19050</xdr:rowOff>
                  </from>
                  <to>
                    <xdr:col>1</xdr:col>
                    <xdr:colOff>1924050</xdr:colOff>
                    <xdr:row>46</xdr:row>
                    <xdr:rowOff>219075</xdr:rowOff>
                  </to>
                </anchor>
              </controlPr>
            </control>
          </mc:Choice>
        </mc:AlternateContent>
        <mc:AlternateContent xmlns:mc="http://schemas.openxmlformats.org/markup-compatibility/2006">
          <mc:Choice Requires="x14">
            <control shapeId="6182" r:id="rId40" name="Drop Down 38">
              <controlPr defaultSize="0" autoLine="0" autoPict="0">
                <anchor moveWithCells="1">
                  <from>
                    <xdr:col>1</xdr:col>
                    <xdr:colOff>9525</xdr:colOff>
                    <xdr:row>47</xdr:row>
                    <xdr:rowOff>19050</xdr:rowOff>
                  </from>
                  <to>
                    <xdr:col>1</xdr:col>
                    <xdr:colOff>1924050</xdr:colOff>
                    <xdr:row>47</xdr:row>
                    <xdr:rowOff>219075</xdr:rowOff>
                  </to>
                </anchor>
              </controlPr>
            </control>
          </mc:Choice>
        </mc:AlternateContent>
        <mc:AlternateContent xmlns:mc="http://schemas.openxmlformats.org/markup-compatibility/2006">
          <mc:Choice Requires="x14">
            <control shapeId="6183" r:id="rId41" name="Drop Down 39">
              <controlPr defaultSize="0" autoLine="0" autoPict="0">
                <anchor moveWithCells="1">
                  <from>
                    <xdr:col>1</xdr:col>
                    <xdr:colOff>9525</xdr:colOff>
                    <xdr:row>48</xdr:row>
                    <xdr:rowOff>19050</xdr:rowOff>
                  </from>
                  <to>
                    <xdr:col>1</xdr:col>
                    <xdr:colOff>1924050</xdr:colOff>
                    <xdr:row>48</xdr:row>
                    <xdr:rowOff>219075</xdr:rowOff>
                  </to>
                </anchor>
              </controlPr>
            </control>
          </mc:Choice>
        </mc:AlternateContent>
        <mc:AlternateContent xmlns:mc="http://schemas.openxmlformats.org/markup-compatibility/2006">
          <mc:Choice Requires="x14">
            <control shapeId="6184" r:id="rId42" name="Drop Down 40">
              <controlPr defaultSize="0" autoLine="0" autoPict="0">
                <anchor moveWithCells="1">
                  <from>
                    <xdr:col>1</xdr:col>
                    <xdr:colOff>9525</xdr:colOff>
                    <xdr:row>49</xdr:row>
                    <xdr:rowOff>19050</xdr:rowOff>
                  </from>
                  <to>
                    <xdr:col>1</xdr:col>
                    <xdr:colOff>1924050</xdr:colOff>
                    <xdr:row>49</xdr:row>
                    <xdr:rowOff>219075</xdr:rowOff>
                  </to>
                </anchor>
              </controlPr>
            </control>
          </mc:Choice>
        </mc:AlternateContent>
        <mc:AlternateContent xmlns:mc="http://schemas.openxmlformats.org/markup-compatibility/2006">
          <mc:Choice Requires="x14">
            <control shapeId="6185" r:id="rId43" name="Drop Down 41">
              <controlPr defaultSize="0" autoLine="0" autoPict="0">
                <anchor moveWithCells="1">
                  <from>
                    <xdr:col>1</xdr:col>
                    <xdr:colOff>9525</xdr:colOff>
                    <xdr:row>50</xdr:row>
                    <xdr:rowOff>19050</xdr:rowOff>
                  </from>
                  <to>
                    <xdr:col>1</xdr:col>
                    <xdr:colOff>1924050</xdr:colOff>
                    <xdr:row>50</xdr:row>
                    <xdr:rowOff>219075</xdr:rowOff>
                  </to>
                </anchor>
              </controlPr>
            </control>
          </mc:Choice>
        </mc:AlternateContent>
        <mc:AlternateContent xmlns:mc="http://schemas.openxmlformats.org/markup-compatibility/2006">
          <mc:Choice Requires="x14">
            <control shapeId="6186" r:id="rId44" name="Drop Down 42">
              <controlPr defaultSize="0" autoLine="0" autoPict="0">
                <anchor moveWithCells="1">
                  <from>
                    <xdr:col>1</xdr:col>
                    <xdr:colOff>9525</xdr:colOff>
                    <xdr:row>51</xdr:row>
                    <xdr:rowOff>19050</xdr:rowOff>
                  </from>
                  <to>
                    <xdr:col>1</xdr:col>
                    <xdr:colOff>1924050</xdr:colOff>
                    <xdr:row>51</xdr:row>
                    <xdr:rowOff>219075</xdr:rowOff>
                  </to>
                </anchor>
              </controlPr>
            </control>
          </mc:Choice>
        </mc:AlternateContent>
        <mc:AlternateContent xmlns:mc="http://schemas.openxmlformats.org/markup-compatibility/2006">
          <mc:Choice Requires="x14">
            <control shapeId="6187" r:id="rId45" name="Drop Down 43">
              <controlPr defaultSize="0" autoLine="0" autoPict="0">
                <anchor moveWithCells="1">
                  <from>
                    <xdr:col>1</xdr:col>
                    <xdr:colOff>9525</xdr:colOff>
                    <xdr:row>52</xdr:row>
                    <xdr:rowOff>19050</xdr:rowOff>
                  </from>
                  <to>
                    <xdr:col>1</xdr:col>
                    <xdr:colOff>1924050</xdr:colOff>
                    <xdr:row>52</xdr:row>
                    <xdr:rowOff>219075</xdr:rowOff>
                  </to>
                </anchor>
              </controlPr>
            </control>
          </mc:Choice>
        </mc:AlternateContent>
        <mc:AlternateContent xmlns:mc="http://schemas.openxmlformats.org/markup-compatibility/2006">
          <mc:Choice Requires="x14">
            <control shapeId="6188" r:id="rId46" name="Drop Down 44">
              <controlPr defaultSize="0" autoLine="0" autoPict="0">
                <anchor moveWithCells="1">
                  <from>
                    <xdr:col>1</xdr:col>
                    <xdr:colOff>9525</xdr:colOff>
                    <xdr:row>53</xdr:row>
                    <xdr:rowOff>19050</xdr:rowOff>
                  </from>
                  <to>
                    <xdr:col>1</xdr:col>
                    <xdr:colOff>1924050</xdr:colOff>
                    <xdr:row>53</xdr:row>
                    <xdr:rowOff>219075</xdr:rowOff>
                  </to>
                </anchor>
              </controlPr>
            </control>
          </mc:Choice>
        </mc:AlternateContent>
        <mc:AlternateContent xmlns:mc="http://schemas.openxmlformats.org/markup-compatibility/2006">
          <mc:Choice Requires="x14">
            <control shapeId="6189" r:id="rId47" name="Drop Down 45">
              <controlPr defaultSize="0" autoLine="0" autoPict="0">
                <anchor moveWithCells="1">
                  <from>
                    <xdr:col>1</xdr:col>
                    <xdr:colOff>9525</xdr:colOff>
                    <xdr:row>54</xdr:row>
                    <xdr:rowOff>19050</xdr:rowOff>
                  </from>
                  <to>
                    <xdr:col>1</xdr:col>
                    <xdr:colOff>1924050</xdr:colOff>
                    <xdr:row>54</xdr:row>
                    <xdr:rowOff>219075</xdr:rowOff>
                  </to>
                </anchor>
              </controlPr>
            </control>
          </mc:Choice>
        </mc:AlternateContent>
        <mc:AlternateContent xmlns:mc="http://schemas.openxmlformats.org/markup-compatibility/2006">
          <mc:Choice Requires="x14">
            <control shapeId="6190" r:id="rId48" name="Drop Down 46">
              <controlPr defaultSize="0" autoLine="0" autoPict="0">
                <anchor moveWithCells="1">
                  <from>
                    <xdr:col>1</xdr:col>
                    <xdr:colOff>9525</xdr:colOff>
                    <xdr:row>55</xdr:row>
                    <xdr:rowOff>19050</xdr:rowOff>
                  </from>
                  <to>
                    <xdr:col>1</xdr:col>
                    <xdr:colOff>1924050</xdr:colOff>
                    <xdr:row>55</xdr:row>
                    <xdr:rowOff>219075</xdr:rowOff>
                  </to>
                </anchor>
              </controlPr>
            </control>
          </mc:Choice>
        </mc:AlternateContent>
        <mc:AlternateContent xmlns:mc="http://schemas.openxmlformats.org/markup-compatibility/2006">
          <mc:Choice Requires="x14">
            <control shapeId="6201" r:id="rId49" name="Check Box 57">
              <controlPr defaultSize="0" autoFill="0" autoLine="0" autoPict="0">
                <anchor moveWithCells="1">
                  <from>
                    <xdr:col>10</xdr:col>
                    <xdr:colOff>247650</xdr:colOff>
                    <xdr:row>59</xdr:row>
                    <xdr:rowOff>0</xdr:rowOff>
                  </from>
                  <to>
                    <xdr:col>10</xdr:col>
                    <xdr:colOff>476250</xdr:colOff>
                    <xdr:row>60</xdr:row>
                    <xdr:rowOff>9525</xdr:rowOff>
                  </to>
                </anchor>
              </controlPr>
            </control>
          </mc:Choice>
        </mc:AlternateContent>
      </controls>
    </mc:Choice>
  </mc:AlternateConten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20"/>
  <dimension ref="A1:H26"/>
  <sheetViews>
    <sheetView zoomScale="130" zoomScaleNormal="130" workbookViewId="0">
      <selection activeCell="H16" sqref="H16"/>
    </sheetView>
  </sheetViews>
  <sheetFormatPr defaultRowHeight="12.75" x14ac:dyDescent="0.2"/>
  <cols>
    <col min="2" max="2" width="7.7109375" style="940" bestFit="1" customWidth="1"/>
    <col min="3" max="3" width="10.140625" style="939" bestFit="1" customWidth="1"/>
    <col min="4" max="4" width="10.85546875" style="940" bestFit="1" customWidth="1"/>
    <col min="5" max="5" width="12.42578125" style="939" bestFit="1" customWidth="1"/>
    <col min="6" max="6" width="11.7109375" style="940" bestFit="1" customWidth="1"/>
    <col min="7" max="7" width="10.28515625" style="941" customWidth="1"/>
    <col min="8" max="8" width="77.140625" customWidth="1"/>
  </cols>
  <sheetData>
    <row r="1" spans="1:8" s="951" customFormat="1" ht="34.5" customHeight="1" x14ac:dyDescent="0.2">
      <c r="A1" s="951" t="s">
        <v>1777</v>
      </c>
      <c r="B1" s="952" t="s">
        <v>1780</v>
      </c>
      <c r="C1" s="953" t="s">
        <v>1778</v>
      </c>
      <c r="D1" s="952" t="s">
        <v>1779</v>
      </c>
      <c r="E1" s="953" t="s">
        <v>1789</v>
      </c>
      <c r="F1" s="952" t="s">
        <v>1781</v>
      </c>
      <c r="G1" s="954" t="s">
        <v>1782</v>
      </c>
      <c r="H1" s="951" t="s">
        <v>1784</v>
      </c>
    </row>
    <row r="2" spans="1:8" s="11" customFormat="1" x14ac:dyDescent="0.2">
      <c r="A2" s="67" t="s">
        <v>72</v>
      </c>
      <c r="B2" s="948"/>
      <c r="C2" s="949"/>
      <c r="D2" s="948">
        <v>9</v>
      </c>
      <c r="E2" s="949"/>
      <c r="F2" s="948">
        <v>0</v>
      </c>
      <c r="G2" s="950">
        <f>F2-D2</f>
        <v>-9</v>
      </c>
      <c r="H2" s="67" t="s">
        <v>1786</v>
      </c>
    </row>
    <row r="3" spans="1:8" x14ac:dyDescent="0.2">
      <c r="A3" t="s">
        <v>486</v>
      </c>
      <c r="B3" s="940">
        <v>23672</v>
      </c>
      <c r="C3" s="939">
        <v>1.4999999999999999E-2</v>
      </c>
      <c r="D3" s="940">
        <f>B3*C3</f>
        <v>355.08</v>
      </c>
      <c r="E3" s="939">
        <v>1.7500000000000002E-2</v>
      </c>
      <c r="F3" s="940">
        <f>B3*E3</f>
        <v>414.26000000000005</v>
      </c>
      <c r="G3" s="941">
        <f>F3-D3</f>
        <v>59.180000000000064</v>
      </c>
      <c r="H3" s="67" t="s">
        <v>1787</v>
      </c>
    </row>
    <row r="4" spans="1:8" x14ac:dyDescent="0.2">
      <c r="A4" s="67" t="s">
        <v>824</v>
      </c>
      <c r="D4" s="940">
        <v>4</v>
      </c>
      <c r="F4" s="940">
        <v>0</v>
      </c>
      <c r="G4" s="941">
        <f>F4-D4</f>
        <v>-4</v>
      </c>
      <c r="H4" s="67" t="s">
        <v>1786</v>
      </c>
    </row>
    <row r="5" spans="1:8" x14ac:dyDescent="0.2">
      <c r="A5" s="67" t="s">
        <v>1783</v>
      </c>
      <c r="B5" s="940">
        <v>26345</v>
      </c>
      <c r="C5" s="939">
        <v>0.02</v>
      </c>
      <c r="D5" s="940">
        <f t="shared" ref="D5:D26" si="0">B5*C5</f>
        <v>526.9</v>
      </c>
      <c r="E5" s="939">
        <v>2.2499999999999999E-2</v>
      </c>
      <c r="F5" s="940">
        <f t="shared" ref="F5:F26" si="1">B5*E5</f>
        <v>592.76249999999993</v>
      </c>
      <c r="G5" s="941">
        <f>F5-D5</f>
        <v>65.862499999999955</v>
      </c>
      <c r="H5" s="67" t="s">
        <v>1787</v>
      </c>
    </row>
    <row r="6" spans="1:8" x14ac:dyDescent="0.2">
      <c r="A6" s="67" t="s">
        <v>1365</v>
      </c>
      <c r="D6" s="940">
        <v>1</v>
      </c>
      <c r="F6" s="940">
        <v>0</v>
      </c>
      <c r="G6" s="941">
        <f>F6-D6</f>
        <v>-1</v>
      </c>
      <c r="H6" s="67" t="s">
        <v>1786</v>
      </c>
    </row>
    <row r="7" spans="1:8" s="51" customFormat="1" ht="25.5" x14ac:dyDescent="0.2">
      <c r="A7" s="942" t="s">
        <v>767</v>
      </c>
      <c r="B7" s="943">
        <v>7445</v>
      </c>
      <c r="C7" s="944">
        <v>2.5000000000000001E-2</v>
      </c>
      <c r="D7" s="943">
        <f t="shared" si="0"/>
        <v>186.125</v>
      </c>
      <c r="E7" s="944">
        <v>0.01</v>
      </c>
      <c r="F7" s="943">
        <f t="shared" si="1"/>
        <v>74.45</v>
      </c>
      <c r="G7" s="945">
        <f t="shared" ref="G7:G26" si="2">F7-D7</f>
        <v>-111.675</v>
      </c>
      <c r="H7" s="946" t="s">
        <v>1785</v>
      </c>
    </row>
    <row r="8" spans="1:8" ht="25.5" x14ac:dyDescent="0.2">
      <c r="A8" s="67" t="s">
        <v>829</v>
      </c>
      <c r="B8" s="940">
        <v>8209</v>
      </c>
      <c r="C8" s="939">
        <v>7.4999999999999997E-3</v>
      </c>
      <c r="D8" s="940">
        <f t="shared" si="0"/>
        <v>61.567499999999995</v>
      </c>
      <c r="E8" s="939">
        <v>0.01</v>
      </c>
      <c r="F8" s="940">
        <f t="shared" si="1"/>
        <v>82.09</v>
      </c>
      <c r="G8" s="941">
        <f t="shared" si="2"/>
        <v>20.522500000000008</v>
      </c>
      <c r="H8" s="946" t="s">
        <v>1785</v>
      </c>
    </row>
    <row r="9" spans="1:8" x14ac:dyDescent="0.2">
      <c r="A9" s="67" t="s">
        <v>494</v>
      </c>
      <c r="D9" s="940">
        <v>2</v>
      </c>
      <c r="F9" s="940">
        <v>0</v>
      </c>
      <c r="G9" s="941">
        <f t="shared" si="2"/>
        <v>-2</v>
      </c>
      <c r="H9" s="947" t="s">
        <v>1786</v>
      </c>
    </row>
    <row r="10" spans="1:8" ht="38.25" x14ac:dyDescent="0.2">
      <c r="A10" s="67" t="s">
        <v>830</v>
      </c>
      <c r="B10" s="940">
        <v>764</v>
      </c>
      <c r="C10" s="939">
        <v>1.2500000000000001E-2</v>
      </c>
      <c r="D10" s="940">
        <f t="shared" si="0"/>
        <v>9.5500000000000007</v>
      </c>
      <c r="E10" s="939">
        <v>0.01</v>
      </c>
      <c r="F10" s="940">
        <v>0</v>
      </c>
      <c r="G10" s="941">
        <f t="shared" si="2"/>
        <v>-9.5500000000000007</v>
      </c>
      <c r="H10" s="947" t="s">
        <v>1788</v>
      </c>
    </row>
    <row r="11" spans="1:8" ht="25.5" x14ac:dyDescent="0.2">
      <c r="A11" s="67" t="s">
        <v>831</v>
      </c>
      <c r="B11" s="940">
        <v>8018</v>
      </c>
      <c r="C11" s="939">
        <v>0.01</v>
      </c>
      <c r="D11" s="940">
        <f t="shared" si="0"/>
        <v>80.180000000000007</v>
      </c>
      <c r="E11" s="939">
        <v>1.2500000000000001E-2</v>
      </c>
      <c r="F11" s="940">
        <f t="shared" si="1"/>
        <v>100.22500000000001</v>
      </c>
      <c r="G11" s="941">
        <f t="shared" si="2"/>
        <v>20.045000000000002</v>
      </c>
      <c r="H11" s="947" t="s">
        <v>1785</v>
      </c>
    </row>
    <row r="12" spans="1:8" ht="25.5" x14ac:dyDescent="0.2">
      <c r="A12" s="67" t="s">
        <v>832</v>
      </c>
      <c r="B12" s="940">
        <v>5918</v>
      </c>
      <c r="C12" s="939">
        <v>1.4999999999999999E-2</v>
      </c>
      <c r="D12" s="940">
        <f t="shared" si="0"/>
        <v>88.77</v>
      </c>
      <c r="E12" s="939">
        <v>0.01</v>
      </c>
      <c r="F12" s="940">
        <f t="shared" si="1"/>
        <v>59.18</v>
      </c>
      <c r="G12" s="941">
        <f t="shared" si="2"/>
        <v>-29.589999999999996</v>
      </c>
      <c r="H12" s="947" t="s">
        <v>1785</v>
      </c>
    </row>
    <row r="13" spans="1:8" x14ac:dyDescent="0.2">
      <c r="D13" s="940">
        <f t="shared" si="0"/>
        <v>0</v>
      </c>
      <c r="F13" s="940">
        <f t="shared" si="1"/>
        <v>0</v>
      </c>
      <c r="G13" s="941">
        <f t="shared" si="2"/>
        <v>0</v>
      </c>
    </row>
    <row r="14" spans="1:8" x14ac:dyDescent="0.2">
      <c r="D14" s="940">
        <f t="shared" si="0"/>
        <v>0</v>
      </c>
      <c r="F14" s="940">
        <f t="shared" si="1"/>
        <v>0</v>
      </c>
      <c r="G14" s="941">
        <f t="shared" si="2"/>
        <v>0</v>
      </c>
    </row>
    <row r="15" spans="1:8" x14ac:dyDescent="0.2">
      <c r="D15" s="940">
        <f t="shared" si="0"/>
        <v>0</v>
      </c>
      <c r="F15" s="940">
        <f t="shared" si="1"/>
        <v>0</v>
      </c>
      <c r="G15" s="941">
        <f t="shared" si="2"/>
        <v>0</v>
      </c>
    </row>
    <row r="16" spans="1:8" x14ac:dyDescent="0.2">
      <c r="D16" s="940">
        <f t="shared" si="0"/>
        <v>0</v>
      </c>
      <c r="F16" s="940">
        <f t="shared" si="1"/>
        <v>0</v>
      </c>
      <c r="G16" s="941">
        <f t="shared" si="2"/>
        <v>0</v>
      </c>
    </row>
    <row r="17" spans="4:7" x14ac:dyDescent="0.2">
      <c r="D17" s="940">
        <f t="shared" si="0"/>
        <v>0</v>
      </c>
      <c r="F17" s="940">
        <f t="shared" si="1"/>
        <v>0</v>
      </c>
      <c r="G17" s="941">
        <f t="shared" si="2"/>
        <v>0</v>
      </c>
    </row>
    <row r="18" spans="4:7" x14ac:dyDescent="0.2">
      <c r="D18" s="940">
        <f t="shared" si="0"/>
        <v>0</v>
      </c>
      <c r="F18" s="940">
        <f t="shared" si="1"/>
        <v>0</v>
      </c>
      <c r="G18" s="941">
        <f t="shared" si="2"/>
        <v>0</v>
      </c>
    </row>
    <row r="19" spans="4:7" x14ac:dyDescent="0.2">
      <c r="D19" s="940">
        <f t="shared" si="0"/>
        <v>0</v>
      </c>
      <c r="F19" s="940">
        <f t="shared" si="1"/>
        <v>0</v>
      </c>
      <c r="G19" s="941">
        <f t="shared" si="2"/>
        <v>0</v>
      </c>
    </row>
    <row r="20" spans="4:7" x14ac:dyDescent="0.2">
      <c r="D20" s="940">
        <f t="shared" si="0"/>
        <v>0</v>
      </c>
      <c r="F20" s="940">
        <f t="shared" si="1"/>
        <v>0</v>
      </c>
      <c r="G20" s="941">
        <f t="shared" si="2"/>
        <v>0</v>
      </c>
    </row>
    <row r="21" spans="4:7" x14ac:dyDescent="0.2">
      <c r="D21" s="940">
        <f t="shared" si="0"/>
        <v>0</v>
      </c>
      <c r="F21" s="940">
        <f t="shared" si="1"/>
        <v>0</v>
      </c>
      <c r="G21" s="941">
        <f t="shared" si="2"/>
        <v>0</v>
      </c>
    </row>
    <row r="22" spans="4:7" x14ac:dyDescent="0.2">
      <c r="D22" s="940">
        <f t="shared" si="0"/>
        <v>0</v>
      </c>
      <c r="F22" s="940">
        <f t="shared" si="1"/>
        <v>0</v>
      </c>
      <c r="G22" s="941">
        <f t="shared" si="2"/>
        <v>0</v>
      </c>
    </row>
    <row r="23" spans="4:7" x14ac:dyDescent="0.2">
      <c r="D23" s="940">
        <f t="shared" si="0"/>
        <v>0</v>
      </c>
      <c r="F23" s="940">
        <f t="shared" si="1"/>
        <v>0</v>
      </c>
      <c r="G23" s="941">
        <f t="shared" si="2"/>
        <v>0</v>
      </c>
    </row>
    <row r="24" spans="4:7" x14ac:dyDescent="0.2">
      <c r="D24" s="940">
        <f t="shared" si="0"/>
        <v>0</v>
      </c>
      <c r="F24" s="940">
        <f t="shared" si="1"/>
        <v>0</v>
      </c>
      <c r="G24" s="941">
        <f t="shared" si="2"/>
        <v>0</v>
      </c>
    </row>
    <row r="25" spans="4:7" x14ac:dyDescent="0.2">
      <c r="D25" s="940">
        <f t="shared" si="0"/>
        <v>0</v>
      </c>
      <c r="F25" s="940">
        <f t="shared" si="1"/>
        <v>0</v>
      </c>
      <c r="G25" s="941">
        <f t="shared" si="2"/>
        <v>0</v>
      </c>
    </row>
    <row r="26" spans="4:7" x14ac:dyDescent="0.2">
      <c r="D26" s="940">
        <f t="shared" si="0"/>
        <v>0</v>
      </c>
      <c r="F26" s="940">
        <f t="shared" si="1"/>
        <v>0</v>
      </c>
      <c r="G26" s="941">
        <f t="shared" si="2"/>
        <v>0</v>
      </c>
    </row>
  </sheetData>
  <sheetProtection algorithmName="SHA-512" hashValue="Zs2JtM7lYNS3hwVzIqwVkhBt4xRGlWXI8oy2u83CZt6aJGrjlK+AurzmObeXg+eFOcN+D5MmuOM/WI70cHNgjA==" saltValue="vgzuua/WENdHvb6Q5D/Hnw==" spinCount="100000" sheet="1" objects="1" scenarios="1"/>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6"/>
  <dimension ref="A1:R112"/>
  <sheetViews>
    <sheetView showGridLines="0" topLeftCell="B1" zoomScaleNormal="100" workbookViewId="0">
      <selection activeCell="C12" sqref="C12:C56"/>
    </sheetView>
  </sheetViews>
  <sheetFormatPr defaultRowHeight="12.75" x14ac:dyDescent="0.2"/>
  <cols>
    <col min="1" max="1" width="3.7109375" customWidth="1"/>
    <col min="2" max="2" width="29.28515625" customWidth="1"/>
    <col min="3" max="3" width="5.85546875" hidden="1" customWidth="1"/>
    <col min="4" max="4" width="4.7109375" customWidth="1"/>
    <col min="5" max="6" width="16" customWidth="1"/>
    <col min="7" max="7" width="10.7109375" customWidth="1"/>
    <col min="8" max="8" width="6" customWidth="1"/>
    <col min="9" max="9" width="10.7109375" customWidth="1"/>
    <col min="10" max="10" width="6" customWidth="1"/>
    <col min="11" max="11" width="10.7109375" customWidth="1"/>
    <col min="12" max="12" width="6" customWidth="1"/>
    <col min="13" max="13" width="9.7109375" customWidth="1"/>
    <col min="14" max="14" width="3.28515625" hidden="1" customWidth="1"/>
    <col min="15" max="15" width="11.28515625" customWidth="1"/>
    <col min="16" max="16" width="10.7109375" customWidth="1"/>
    <col min="17" max="17" width="5.7109375" customWidth="1"/>
    <col min="18" max="18" width="10.7109375" customWidth="1"/>
    <col min="19" max="19" width="12.7109375" customWidth="1"/>
  </cols>
  <sheetData>
    <row r="1" spans="1:18" ht="26.1" customHeight="1" x14ac:dyDescent="0.4">
      <c r="A1" s="1372" t="s">
        <v>372</v>
      </c>
      <c r="B1" s="1540"/>
      <c r="C1" s="216"/>
      <c r="D1" s="1541" t="s">
        <v>364</v>
      </c>
      <c r="E1" s="1374"/>
      <c r="F1" s="1374"/>
      <c r="G1" s="1374"/>
      <c r="H1" s="1374"/>
      <c r="I1" s="1374"/>
      <c r="J1" s="1374"/>
      <c r="K1" s="1542"/>
      <c r="L1" s="1380">
        <f>IF('Complete This Page'!G11="",YEAR('Complete This Page'!H11),'Complete This Page'!G11)</f>
        <v>2018</v>
      </c>
      <c r="M1" s="1381"/>
      <c r="O1" s="171"/>
      <c r="P1" s="171"/>
      <c r="Q1" s="171"/>
      <c r="R1" s="171"/>
    </row>
    <row r="2" spans="1:18" ht="11.25" customHeight="1" x14ac:dyDescent="0.2">
      <c r="A2" s="1545" t="s">
        <v>159</v>
      </c>
      <c r="B2" s="1546"/>
      <c r="C2" s="217"/>
      <c r="D2" s="1543"/>
      <c r="E2" s="1375"/>
      <c r="F2" s="1375"/>
      <c r="G2" s="1375"/>
      <c r="H2" s="1375"/>
      <c r="I2" s="1375"/>
      <c r="J2" s="1375"/>
      <c r="K2" s="1544"/>
      <c r="L2" s="1382" t="str">
        <f>+'Complete This Page'!J1</f>
        <v>NPAC v2018.0</v>
      </c>
      <c r="M2" s="1383"/>
      <c r="O2" s="786"/>
      <c r="P2" s="171"/>
      <c r="Q2" s="171"/>
      <c r="R2" s="171"/>
    </row>
    <row r="3" spans="1:18" x14ac:dyDescent="0.2">
      <c r="A3" s="1" t="s">
        <v>467</v>
      </c>
      <c r="B3" s="61"/>
      <c r="C3" s="61"/>
      <c r="D3" s="61"/>
      <c r="E3" s="61"/>
      <c r="F3" s="61"/>
      <c r="G3" s="61"/>
      <c r="H3" s="61"/>
      <c r="I3" s="199"/>
      <c r="J3" s="334"/>
      <c r="K3" s="335" t="s">
        <v>466</v>
      </c>
      <c r="L3" s="1"/>
      <c r="M3" s="1"/>
      <c r="O3" s="171"/>
      <c r="P3" s="171"/>
      <c r="Q3" s="171"/>
      <c r="R3" s="171"/>
    </row>
    <row r="4" spans="1:18" ht="18" x14ac:dyDescent="0.25">
      <c r="A4" s="25"/>
      <c r="B4" s="1377">
        <f>'Complete This Page'!B3</f>
        <v>0</v>
      </c>
      <c r="C4" s="1377"/>
      <c r="D4" s="1377"/>
      <c r="E4" s="1377"/>
      <c r="F4" s="1377"/>
      <c r="G4" s="1377"/>
      <c r="H4" s="1377"/>
      <c r="I4" s="1377"/>
      <c r="J4" s="1378"/>
      <c r="K4" s="1350">
        <f>'Complete This Page'!G3</f>
        <v>0</v>
      </c>
      <c r="L4" s="1351"/>
      <c r="M4" s="1351"/>
      <c r="O4" s="786"/>
      <c r="P4" s="171"/>
      <c r="Q4" s="171"/>
      <c r="R4" s="171"/>
    </row>
    <row r="5" spans="1:18" s="7" customFormat="1" ht="8.25" x14ac:dyDescent="0.15">
      <c r="L5" s="8"/>
      <c r="M5" s="603"/>
      <c r="O5" s="604"/>
      <c r="P5" s="604"/>
      <c r="Q5" s="604"/>
      <c r="R5" s="604"/>
    </row>
    <row r="6" spans="1:18" x14ac:dyDescent="0.2">
      <c r="B6" s="1550" t="s">
        <v>314</v>
      </c>
      <c r="E6" s="1526" t="s">
        <v>628</v>
      </c>
      <c r="F6" s="1527"/>
      <c r="G6" s="674">
        <f>IF(Overflow!G6="","",Overflow!G6)</f>
        <v>0</v>
      </c>
      <c r="I6" s="1534" t="s">
        <v>631</v>
      </c>
      <c r="J6" s="1535"/>
      <c r="K6" s="675">
        <f>IF(Overflow!K6="","",Overflow!K6)</f>
        <v>0</v>
      </c>
      <c r="L6" s="320"/>
      <c r="N6" s="340">
        <f>IF(G8&gt;0,1,0)</f>
        <v>0</v>
      </c>
      <c r="O6" s="171"/>
      <c r="P6" s="171"/>
      <c r="Q6" s="171"/>
      <c r="R6" s="171"/>
    </row>
    <row r="7" spans="1:18" x14ac:dyDescent="0.2">
      <c r="B7" s="1551"/>
      <c r="D7" s="329"/>
      <c r="E7" s="1528" t="s">
        <v>629</v>
      </c>
      <c r="F7" s="1529"/>
      <c r="G7" s="674">
        <f>IF(Overflow!G7="","",Overflow!G7)</f>
        <v>0</v>
      </c>
      <c r="H7" s="321"/>
      <c r="I7" s="333"/>
      <c r="J7" s="321"/>
      <c r="K7" s="320"/>
      <c r="L7" s="320"/>
      <c r="N7" s="340">
        <f>IF(K6&gt;0,1,0)</f>
        <v>0</v>
      </c>
      <c r="O7" s="171"/>
      <c r="P7" s="342"/>
      <c r="Q7" s="342"/>
      <c r="R7" s="343"/>
    </row>
    <row r="8" spans="1:18" x14ac:dyDescent="0.2">
      <c r="B8" s="1551"/>
      <c r="D8" s="329"/>
      <c r="E8" s="1532" t="s">
        <v>630</v>
      </c>
      <c r="F8" s="1533"/>
      <c r="G8" s="599">
        <f>SUM(G6:G7)</f>
        <v>0</v>
      </c>
      <c r="H8" s="321"/>
      <c r="I8" s="1536" t="s">
        <v>632</v>
      </c>
      <c r="J8" s="1537"/>
      <c r="K8" s="675">
        <f>IF(Overflow!K8="","",Overflow!K8)</f>
        <v>0</v>
      </c>
      <c r="N8" s="340">
        <f>IF(K8&gt;0,1,0)</f>
        <v>0</v>
      </c>
      <c r="O8" s="171"/>
      <c r="P8" s="171"/>
      <c r="Q8" s="171"/>
      <c r="R8" s="171"/>
    </row>
    <row r="9" spans="1:18" s="7" customFormat="1" ht="11.25" customHeight="1" x14ac:dyDescent="0.15">
      <c r="N9" s="605">
        <f>SUM(N6:N8)</f>
        <v>0</v>
      </c>
      <c r="O9" s="604"/>
      <c r="P9" s="604"/>
      <c r="Q9" s="604"/>
      <c r="R9" s="604"/>
    </row>
    <row r="10" spans="1:18" s="1" customFormat="1" ht="11.25" x14ac:dyDescent="0.2">
      <c r="B10" s="322"/>
      <c r="D10" s="1547" t="s">
        <v>588</v>
      </c>
      <c r="E10" s="1530" t="s">
        <v>621</v>
      </c>
      <c r="F10" s="1531"/>
      <c r="G10" s="1531"/>
      <c r="H10" s="1538"/>
      <c r="I10" s="1530" t="s">
        <v>627</v>
      </c>
      <c r="J10" s="1531"/>
      <c r="K10" s="1006" t="s">
        <v>1670</v>
      </c>
      <c r="L10" s="1007"/>
      <c r="M10" s="21" t="s">
        <v>620</v>
      </c>
      <c r="O10" s="344"/>
      <c r="P10" s="344"/>
      <c r="Q10" s="344"/>
      <c r="R10" s="344"/>
    </row>
    <row r="11" spans="1:18" x14ac:dyDescent="0.2">
      <c r="B11" s="323" t="s">
        <v>618</v>
      </c>
      <c r="C11" s="324" t="s">
        <v>164</v>
      </c>
      <c r="D11" s="1548"/>
      <c r="E11" s="22" t="s">
        <v>622</v>
      </c>
      <c r="F11" s="22" t="s">
        <v>623</v>
      </c>
      <c r="G11" s="22" t="s">
        <v>624</v>
      </c>
      <c r="H11" s="22" t="s">
        <v>625</v>
      </c>
      <c r="I11" s="22" t="s">
        <v>619</v>
      </c>
      <c r="J11" s="22" t="s">
        <v>625</v>
      </c>
      <c r="K11" s="22" t="s">
        <v>626</v>
      </c>
      <c r="L11" s="22" t="s">
        <v>625</v>
      </c>
      <c r="M11" s="22"/>
      <c r="O11" s="171"/>
      <c r="P11" s="171"/>
      <c r="Q11" s="171"/>
      <c r="R11" s="171"/>
    </row>
    <row r="12" spans="1:18" ht="18" customHeight="1" x14ac:dyDescent="0.2">
      <c r="A12" s="325">
        <v>46</v>
      </c>
      <c r="B12" s="318"/>
      <c r="C12" s="326">
        <v>1</v>
      </c>
      <c r="D12" s="327">
        <f>LOOKUP(C12,Cities!A$3:A$343,Cities!B$3:B$343)</f>
        <v>0</v>
      </c>
      <c r="E12" s="332">
        <v>0</v>
      </c>
      <c r="F12" s="332">
        <v>0</v>
      </c>
      <c r="G12" s="331">
        <f t="shared" ref="G12:G56" si="0">+E12+F12</f>
        <v>0</v>
      </c>
      <c r="H12" s="914" t="str">
        <f t="shared" ref="H12:H56" si="1">IF(G$8&gt;0,ROUND(G12/G$8,6),"n/a")</f>
        <v>n/a</v>
      </c>
      <c r="I12" s="332">
        <v>0</v>
      </c>
      <c r="J12" s="914" t="str">
        <f>IF(Overflow!K$6&gt;0,ROUND(I12/Overflow!K$6,6),"n/a")</f>
        <v>n/a</v>
      </c>
      <c r="K12" s="332">
        <v>0</v>
      </c>
      <c r="L12" s="914" t="str">
        <f>IF(Overflow!K$8&gt;0,ROUND(K12/Overflow!K$8,6),"n/a")</f>
        <v>n/a</v>
      </c>
      <c r="M12" s="330">
        <f>IF(Overflow!G$8+Overflow!K$6+Overflow!K$8=0,0,ROUND((IF(H12="n/a",0,H12)+IF(J12="n/a",0,J12)+IF(L12="n/a",0,L12))/N$9,6))</f>
        <v>0</v>
      </c>
      <c r="O12" s="785">
        <f>LOOKUP(C12,Cities!A$3:A$343,Cities!AA$3:AA$343)</f>
        <v>0</v>
      </c>
      <c r="P12" s="171"/>
      <c r="Q12" s="171"/>
      <c r="R12" s="171"/>
    </row>
    <row r="13" spans="1:18" ht="18" customHeight="1" x14ac:dyDescent="0.2">
      <c r="A13" s="325">
        <v>47</v>
      </c>
      <c r="B13" s="318"/>
      <c r="C13" s="326">
        <v>1</v>
      </c>
      <c r="D13" s="327">
        <f>LOOKUP(C13,Cities!A$3:A$343,Cities!B$3:B$343)</f>
        <v>0</v>
      </c>
      <c r="E13" s="332">
        <v>0</v>
      </c>
      <c r="F13" s="332">
        <v>0</v>
      </c>
      <c r="G13" s="331">
        <f t="shared" si="0"/>
        <v>0</v>
      </c>
      <c r="H13" s="914" t="str">
        <f t="shared" si="1"/>
        <v>n/a</v>
      </c>
      <c r="I13" s="332">
        <v>0</v>
      </c>
      <c r="J13" s="914" t="str">
        <f>IF(Overflow!K$6&gt;0,ROUND(I13/Overflow!K$6,6),"n/a")</f>
        <v>n/a</v>
      </c>
      <c r="K13" s="332">
        <v>0</v>
      </c>
      <c r="L13" s="914" t="str">
        <f>IF(Overflow!K$8&gt;0,ROUND(K13/Overflow!K$8,6),"n/a")</f>
        <v>n/a</v>
      </c>
      <c r="M13" s="330">
        <f>IF(Overflow!G$8+Overflow!K$6+Overflow!K$8=0,0,ROUND((IF(H13="n/a",0,H13)+IF(J13="n/a",0,J13)+IF(L13="n/a",0,L13))/N$9,6))</f>
        <v>0</v>
      </c>
      <c r="O13" s="785">
        <f>LOOKUP(C13,Cities!A$3:A$343,Cities!AA$3:AA$343)</f>
        <v>0</v>
      </c>
      <c r="P13" s="171"/>
      <c r="Q13" s="171"/>
      <c r="R13" s="171"/>
    </row>
    <row r="14" spans="1:18" ht="18" customHeight="1" x14ac:dyDescent="0.2">
      <c r="A14" s="325">
        <v>48</v>
      </c>
      <c r="B14" s="318"/>
      <c r="C14" s="326">
        <v>1</v>
      </c>
      <c r="D14" s="327">
        <f>LOOKUP(C14,Cities!A$3:A$343,Cities!B$3:B$343)</f>
        <v>0</v>
      </c>
      <c r="E14" s="332">
        <v>0</v>
      </c>
      <c r="F14" s="332">
        <v>0</v>
      </c>
      <c r="G14" s="331">
        <f t="shared" si="0"/>
        <v>0</v>
      </c>
      <c r="H14" s="914" t="str">
        <f t="shared" si="1"/>
        <v>n/a</v>
      </c>
      <c r="I14" s="332">
        <v>0</v>
      </c>
      <c r="J14" s="914" t="str">
        <f>IF(Overflow!K$6&gt;0,ROUND(I14/Overflow!K$6,6),"n/a")</f>
        <v>n/a</v>
      </c>
      <c r="K14" s="332">
        <v>0</v>
      </c>
      <c r="L14" s="914" t="str">
        <f>IF(Overflow!K$8&gt;0,ROUND(K14/Overflow!K$8,6),"n/a")</f>
        <v>n/a</v>
      </c>
      <c r="M14" s="330">
        <f>IF(Overflow!G$8+Overflow!K$6+Overflow!K$8=0,0,ROUND((IF(H14="n/a",0,H14)+IF(J14="n/a",0,J14)+IF(L14="n/a",0,L14))/N$9,6))</f>
        <v>0</v>
      </c>
      <c r="O14" s="785">
        <f>LOOKUP(C14,Cities!A$3:A$343,Cities!AA$3:AA$343)</f>
        <v>0</v>
      </c>
      <c r="P14" s="171"/>
      <c r="Q14" s="171"/>
      <c r="R14" s="171"/>
    </row>
    <row r="15" spans="1:18" ht="18" customHeight="1" x14ac:dyDescent="0.2">
      <c r="A15" s="325">
        <v>49</v>
      </c>
      <c r="B15" s="318"/>
      <c r="C15" s="326">
        <v>1</v>
      </c>
      <c r="D15" s="327">
        <f>LOOKUP(C15,Cities!A$3:A$343,Cities!B$3:B$343)</f>
        <v>0</v>
      </c>
      <c r="E15" s="332">
        <v>0</v>
      </c>
      <c r="F15" s="332">
        <v>0</v>
      </c>
      <c r="G15" s="331">
        <f t="shared" si="0"/>
        <v>0</v>
      </c>
      <c r="H15" s="914" t="str">
        <f t="shared" si="1"/>
        <v>n/a</v>
      </c>
      <c r="I15" s="332">
        <v>0</v>
      </c>
      <c r="J15" s="914" t="str">
        <f>IF(Overflow!K$6&gt;0,ROUND(I15/Overflow!K$6,6),"n/a")</f>
        <v>n/a</v>
      </c>
      <c r="K15" s="332">
        <v>0</v>
      </c>
      <c r="L15" s="914" t="str">
        <f>IF(Overflow!K$8&gt;0,ROUND(K15/Overflow!K$8,6),"n/a")</f>
        <v>n/a</v>
      </c>
      <c r="M15" s="330">
        <f>IF(Overflow!G$8+Overflow!K$6+Overflow!K$8=0,0,ROUND((IF(H15="n/a",0,H15)+IF(J15="n/a",0,J15)+IF(L15="n/a",0,L15))/N$9,6))</f>
        <v>0</v>
      </c>
      <c r="O15" s="785">
        <f>LOOKUP(C15,Cities!A$3:A$343,Cities!AA$3:AA$343)</f>
        <v>0</v>
      </c>
      <c r="P15" s="171"/>
      <c r="Q15" s="171"/>
      <c r="R15" s="171"/>
    </row>
    <row r="16" spans="1:18" ht="18" customHeight="1" x14ac:dyDescent="0.2">
      <c r="A16" s="325">
        <v>50</v>
      </c>
      <c r="B16" s="318"/>
      <c r="C16" s="326">
        <v>1</v>
      </c>
      <c r="D16" s="327">
        <f>LOOKUP(C16,Cities!A$3:A$343,Cities!B$3:B$343)</f>
        <v>0</v>
      </c>
      <c r="E16" s="332">
        <v>0</v>
      </c>
      <c r="F16" s="332">
        <v>0</v>
      </c>
      <c r="G16" s="331">
        <f t="shared" si="0"/>
        <v>0</v>
      </c>
      <c r="H16" s="914" t="str">
        <f t="shared" si="1"/>
        <v>n/a</v>
      </c>
      <c r="I16" s="332">
        <v>0</v>
      </c>
      <c r="J16" s="914" t="str">
        <f>IF(Overflow!K$6&gt;0,ROUND(I16/Overflow!K$6,6),"n/a")</f>
        <v>n/a</v>
      </c>
      <c r="K16" s="332">
        <v>0</v>
      </c>
      <c r="L16" s="914" t="str">
        <f>IF(Overflow!K$8&gt;0,ROUND(K16/Overflow!K$8,6),"n/a")</f>
        <v>n/a</v>
      </c>
      <c r="M16" s="330">
        <f>IF(Overflow!G$8+Overflow!K$6+Overflow!K$8=0,0,ROUND((IF(H16="n/a",0,H16)+IF(J16="n/a",0,J16)+IF(L16="n/a",0,L16))/N$9,6))</f>
        <v>0</v>
      </c>
      <c r="O16" s="785">
        <f>LOOKUP(C16,Cities!A$3:A$343,Cities!AA$3:AA$343)</f>
        <v>0</v>
      </c>
      <c r="P16" s="171"/>
      <c r="Q16" s="171"/>
      <c r="R16" s="171"/>
    </row>
    <row r="17" spans="1:18" ht="18" customHeight="1" x14ac:dyDescent="0.2">
      <c r="A17" s="325">
        <v>51</v>
      </c>
      <c r="B17" s="318"/>
      <c r="C17" s="326">
        <v>1</v>
      </c>
      <c r="D17" s="327">
        <f>LOOKUP(C17,Cities!A$3:A$343,Cities!B$3:B$343)</f>
        <v>0</v>
      </c>
      <c r="E17" s="332">
        <v>0</v>
      </c>
      <c r="F17" s="332">
        <v>0</v>
      </c>
      <c r="G17" s="331">
        <f t="shared" si="0"/>
        <v>0</v>
      </c>
      <c r="H17" s="914" t="str">
        <f t="shared" si="1"/>
        <v>n/a</v>
      </c>
      <c r="I17" s="332">
        <v>0</v>
      </c>
      <c r="J17" s="914" t="str">
        <f>IF(Overflow!K$6&gt;0,ROUND(I17/Overflow!K$6,6),"n/a")</f>
        <v>n/a</v>
      </c>
      <c r="K17" s="332">
        <v>0</v>
      </c>
      <c r="L17" s="914" t="str">
        <f>IF(Overflow!K$8&gt;0,ROUND(K17/Overflow!K$8,6),"n/a")</f>
        <v>n/a</v>
      </c>
      <c r="M17" s="330">
        <f>IF(Overflow!G$8+Overflow!K$6+Overflow!K$8=0,0,ROUND((IF(H17="n/a",0,H17)+IF(J17="n/a",0,J17)+IF(L17="n/a",0,L17))/N$9,6))</f>
        <v>0</v>
      </c>
      <c r="O17" s="785">
        <f>LOOKUP(C17,Cities!A$3:A$343,Cities!AA$3:AA$343)</f>
        <v>0</v>
      </c>
      <c r="P17" s="171"/>
      <c r="Q17" s="171"/>
      <c r="R17" s="171"/>
    </row>
    <row r="18" spans="1:18" ht="18" customHeight="1" x14ac:dyDescent="0.2">
      <c r="A18" s="325">
        <v>52</v>
      </c>
      <c r="B18" s="318"/>
      <c r="C18" s="326">
        <v>1</v>
      </c>
      <c r="D18" s="327">
        <f>LOOKUP(C18,Cities!A$3:A$343,Cities!B$3:B$343)</f>
        <v>0</v>
      </c>
      <c r="E18" s="332">
        <v>0</v>
      </c>
      <c r="F18" s="332">
        <v>0</v>
      </c>
      <c r="G18" s="331">
        <f t="shared" si="0"/>
        <v>0</v>
      </c>
      <c r="H18" s="914" t="str">
        <f t="shared" si="1"/>
        <v>n/a</v>
      </c>
      <c r="I18" s="332">
        <v>0</v>
      </c>
      <c r="J18" s="914" t="str">
        <f>IF(Overflow!K$6&gt;0,ROUND(I18/Overflow!K$6,6),"n/a")</f>
        <v>n/a</v>
      </c>
      <c r="K18" s="332">
        <v>0</v>
      </c>
      <c r="L18" s="914" t="str">
        <f>IF(Overflow!K$8&gt;0,ROUND(K18/Overflow!K$8,6),"n/a")</f>
        <v>n/a</v>
      </c>
      <c r="M18" s="330">
        <f>IF(Overflow!G$8+Overflow!K$6+Overflow!K$8=0,0,ROUND((IF(H18="n/a",0,H18)+IF(J18="n/a",0,J18)+IF(L18="n/a",0,L18))/N$9,6))</f>
        <v>0</v>
      </c>
      <c r="O18" s="785">
        <f>LOOKUP(C18,Cities!A$3:A$343,Cities!AA$3:AA$343)</f>
        <v>0</v>
      </c>
      <c r="P18" s="171"/>
      <c r="Q18" s="171"/>
      <c r="R18" s="171"/>
    </row>
    <row r="19" spans="1:18" ht="18" customHeight="1" x14ac:dyDescent="0.2">
      <c r="A19" s="325">
        <v>53</v>
      </c>
      <c r="B19" s="318"/>
      <c r="C19" s="326">
        <v>1</v>
      </c>
      <c r="D19" s="327">
        <f>LOOKUP(C19,Cities!A$3:A$343,Cities!B$3:B$343)</f>
        <v>0</v>
      </c>
      <c r="E19" s="332">
        <v>0</v>
      </c>
      <c r="F19" s="332">
        <v>0</v>
      </c>
      <c r="G19" s="331">
        <f t="shared" si="0"/>
        <v>0</v>
      </c>
      <c r="H19" s="914" t="str">
        <f t="shared" si="1"/>
        <v>n/a</v>
      </c>
      <c r="I19" s="332">
        <v>0</v>
      </c>
      <c r="J19" s="914" t="str">
        <f>IF(Overflow!K$6&gt;0,ROUND(I19/Overflow!K$6,6),"n/a")</f>
        <v>n/a</v>
      </c>
      <c r="K19" s="332">
        <v>0</v>
      </c>
      <c r="L19" s="914" t="str">
        <f>IF(Overflow!K$8&gt;0,ROUND(K19/Overflow!K$8,6),"n/a")</f>
        <v>n/a</v>
      </c>
      <c r="M19" s="330">
        <f>IF(Overflow!G$8+Overflow!K$6+Overflow!K$8=0,0,ROUND((IF(H19="n/a",0,H19)+IF(J19="n/a",0,J19)+IF(L19="n/a",0,L19))/N$9,6))</f>
        <v>0</v>
      </c>
      <c r="O19" s="785">
        <f>LOOKUP(C19,Cities!A$3:A$343,Cities!AA$3:AA$343)</f>
        <v>0</v>
      </c>
      <c r="P19" s="171"/>
      <c r="Q19" s="171"/>
      <c r="R19" s="171"/>
    </row>
    <row r="20" spans="1:18" ht="18" customHeight="1" x14ac:dyDescent="0.2">
      <c r="A20" s="325">
        <v>54</v>
      </c>
      <c r="B20" s="318"/>
      <c r="C20" s="326">
        <v>1</v>
      </c>
      <c r="D20" s="327">
        <f>LOOKUP(C20,Cities!A$3:A$343,Cities!B$3:B$343)</f>
        <v>0</v>
      </c>
      <c r="E20" s="332">
        <v>0</v>
      </c>
      <c r="F20" s="332">
        <v>0</v>
      </c>
      <c r="G20" s="331">
        <f t="shared" si="0"/>
        <v>0</v>
      </c>
      <c r="H20" s="914" t="str">
        <f t="shared" si="1"/>
        <v>n/a</v>
      </c>
      <c r="I20" s="332">
        <v>0</v>
      </c>
      <c r="J20" s="914" t="str">
        <f>IF(Overflow!K$6&gt;0,ROUND(I20/Overflow!K$6,6),"n/a")</f>
        <v>n/a</v>
      </c>
      <c r="K20" s="332">
        <v>0</v>
      </c>
      <c r="L20" s="914" t="str">
        <f>IF(Overflow!K$8&gt;0,ROUND(K20/Overflow!K$8,6),"n/a")</f>
        <v>n/a</v>
      </c>
      <c r="M20" s="330">
        <f>IF(Overflow!G$8+Overflow!K$6+Overflow!K$8=0,0,ROUND((IF(H20="n/a",0,H20)+IF(J20="n/a",0,J20)+IF(L20="n/a",0,L20))/N$9,6))</f>
        <v>0</v>
      </c>
      <c r="O20" s="785">
        <f>LOOKUP(C20,Cities!A$3:A$343,Cities!AA$3:AA$343)</f>
        <v>0</v>
      </c>
      <c r="P20" s="171"/>
      <c r="Q20" s="171"/>
      <c r="R20" s="171"/>
    </row>
    <row r="21" spans="1:18" ht="18" customHeight="1" x14ac:dyDescent="0.2">
      <c r="A21" s="325">
        <v>55</v>
      </c>
      <c r="B21" s="318"/>
      <c r="C21" s="326">
        <v>1</v>
      </c>
      <c r="D21" s="327">
        <f>LOOKUP(C21,Cities!A$3:A$343,Cities!B$3:B$343)</f>
        <v>0</v>
      </c>
      <c r="E21" s="332">
        <v>0</v>
      </c>
      <c r="F21" s="332">
        <v>0</v>
      </c>
      <c r="G21" s="331">
        <f t="shared" si="0"/>
        <v>0</v>
      </c>
      <c r="H21" s="914" t="str">
        <f t="shared" si="1"/>
        <v>n/a</v>
      </c>
      <c r="I21" s="332">
        <v>0</v>
      </c>
      <c r="J21" s="914" t="str">
        <f>IF(Overflow!K$6&gt;0,ROUND(I21/Overflow!K$6,6),"n/a")</f>
        <v>n/a</v>
      </c>
      <c r="K21" s="332">
        <v>0</v>
      </c>
      <c r="L21" s="914" t="str">
        <f>IF(Overflow!K$8&gt;0,ROUND(K21/Overflow!K$8,6),"n/a")</f>
        <v>n/a</v>
      </c>
      <c r="M21" s="330">
        <f>IF(Overflow!G$8+Overflow!K$6+Overflow!K$8=0,0,ROUND((IF(H21="n/a",0,H21)+IF(J21="n/a",0,J21)+IF(L21="n/a",0,L21))/N$9,6))</f>
        <v>0</v>
      </c>
      <c r="O21" s="785">
        <f>LOOKUP(C21,Cities!A$3:A$343,Cities!AA$3:AA$343)</f>
        <v>0</v>
      </c>
      <c r="P21" s="171"/>
      <c r="Q21" s="171"/>
      <c r="R21" s="171"/>
    </row>
    <row r="22" spans="1:18" ht="18" customHeight="1" x14ac:dyDescent="0.2">
      <c r="A22" s="325">
        <v>56</v>
      </c>
      <c r="B22" s="318"/>
      <c r="C22" s="326">
        <v>1</v>
      </c>
      <c r="D22" s="327">
        <f>LOOKUP(C22,Cities!A$3:A$343,Cities!B$3:B$343)</f>
        <v>0</v>
      </c>
      <c r="E22" s="332">
        <v>0</v>
      </c>
      <c r="F22" s="332">
        <v>0</v>
      </c>
      <c r="G22" s="331">
        <f t="shared" si="0"/>
        <v>0</v>
      </c>
      <c r="H22" s="914" t="str">
        <f t="shared" si="1"/>
        <v>n/a</v>
      </c>
      <c r="I22" s="332">
        <v>0</v>
      </c>
      <c r="J22" s="914" t="str">
        <f>IF(Overflow!K$6&gt;0,ROUND(I22/Overflow!K$6,6),"n/a")</f>
        <v>n/a</v>
      </c>
      <c r="K22" s="332">
        <v>0</v>
      </c>
      <c r="L22" s="914" t="str">
        <f>IF(Overflow!K$8&gt;0,ROUND(K22/Overflow!K$8,6),"n/a")</f>
        <v>n/a</v>
      </c>
      <c r="M22" s="330">
        <f>IF(Overflow!G$8+Overflow!K$6+Overflow!K$8=0,0,ROUND((IF(H22="n/a",0,H22)+IF(J22="n/a",0,J22)+IF(L22="n/a",0,L22))/N$9,6))</f>
        <v>0</v>
      </c>
      <c r="O22" s="785">
        <f>LOOKUP(C22,Cities!A$3:A$343,Cities!AA$3:AA$343)</f>
        <v>0</v>
      </c>
      <c r="P22" s="171"/>
      <c r="Q22" s="171"/>
      <c r="R22" s="171"/>
    </row>
    <row r="23" spans="1:18" ht="18" customHeight="1" x14ac:dyDescent="0.2">
      <c r="A23" s="325">
        <v>57</v>
      </c>
      <c r="B23" s="318"/>
      <c r="C23" s="326">
        <v>1</v>
      </c>
      <c r="D23" s="327">
        <f>LOOKUP(C23,Cities!A$3:A$343,Cities!B$3:B$343)</f>
        <v>0</v>
      </c>
      <c r="E23" s="332">
        <v>0</v>
      </c>
      <c r="F23" s="332">
        <v>0</v>
      </c>
      <c r="G23" s="331">
        <f t="shared" si="0"/>
        <v>0</v>
      </c>
      <c r="H23" s="914" t="str">
        <f t="shared" si="1"/>
        <v>n/a</v>
      </c>
      <c r="I23" s="332">
        <v>0</v>
      </c>
      <c r="J23" s="914" t="str">
        <f>IF(Overflow!K$6&gt;0,ROUND(I23/Overflow!K$6,6),"n/a")</f>
        <v>n/a</v>
      </c>
      <c r="K23" s="332">
        <v>0</v>
      </c>
      <c r="L23" s="914" t="str">
        <f>IF(Overflow!K$8&gt;0,ROUND(K23/Overflow!K$8,6),"n/a")</f>
        <v>n/a</v>
      </c>
      <c r="M23" s="330">
        <f>IF(Overflow!G$8+Overflow!K$6+Overflow!K$8=0,0,ROUND((IF(H23="n/a",0,H23)+IF(J23="n/a",0,J23)+IF(L23="n/a",0,L23))/N$9,6))</f>
        <v>0</v>
      </c>
      <c r="O23" s="785">
        <f>LOOKUP(C23,Cities!A$3:A$343,Cities!AA$3:AA$343)</f>
        <v>0</v>
      </c>
      <c r="P23" s="171"/>
      <c r="Q23" s="171"/>
      <c r="R23" s="171"/>
    </row>
    <row r="24" spans="1:18" ht="18" customHeight="1" x14ac:dyDescent="0.2">
      <c r="A24" s="325">
        <v>58</v>
      </c>
      <c r="B24" s="318"/>
      <c r="C24" s="326">
        <v>1</v>
      </c>
      <c r="D24" s="327">
        <f>LOOKUP(C24,Cities!A$3:A$343,Cities!B$3:B$343)</f>
        <v>0</v>
      </c>
      <c r="E24" s="332">
        <v>0</v>
      </c>
      <c r="F24" s="332">
        <v>0</v>
      </c>
      <c r="G24" s="331">
        <f t="shared" si="0"/>
        <v>0</v>
      </c>
      <c r="H24" s="914" t="str">
        <f t="shared" si="1"/>
        <v>n/a</v>
      </c>
      <c r="I24" s="332">
        <v>0</v>
      </c>
      <c r="J24" s="914" t="str">
        <f>IF(Overflow!K$6&gt;0,ROUND(I24/Overflow!K$6,6),"n/a")</f>
        <v>n/a</v>
      </c>
      <c r="K24" s="332">
        <v>0</v>
      </c>
      <c r="L24" s="914" t="str">
        <f>IF(Overflow!K$8&gt;0,ROUND(K24/Overflow!K$8,6),"n/a")</f>
        <v>n/a</v>
      </c>
      <c r="M24" s="330">
        <f>IF(Overflow!G$8+Overflow!K$6+Overflow!K$8=0,0,ROUND((IF(H24="n/a",0,H24)+IF(J24="n/a",0,J24)+IF(L24="n/a",0,L24))/N$9,6))</f>
        <v>0</v>
      </c>
      <c r="O24" s="785">
        <f>LOOKUP(C24,Cities!A$3:A$343,Cities!AA$3:AA$343)</f>
        <v>0</v>
      </c>
      <c r="P24" s="171"/>
      <c r="Q24" s="171"/>
      <c r="R24" s="171"/>
    </row>
    <row r="25" spans="1:18" ht="18" customHeight="1" x14ac:dyDescent="0.2">
      <c r="A25" s="325">
        <v>59</v>
      </c>
      <c r="B25" s="318"/>
      <c r="C25" s="326">
        <v>1</v>
      </c>
      <c r="D25" s="327">
        <f>LOOKUP(C25,Cities!A$3:A$343,Cities!B$3:B$343)</f>
        <v>0</v>
      </c>
      <c r="E25" s="332">
        <v>0</v>
      </c>
      <c r="F25" s="332">
        <v>0</v>
      </c>
      <c r="G25" s="331">
        <f t="shared" si="0"/>
        <v>0</v>
      </c>
      <c r="H25" s="914" t="str">
        <f t="shared" si="1"/>
        <v>n/a</v>
      </c>
      <c r="I25" s="332">
        <v>0</v>
      </c>
      <c r="J25" s="914" t="str">
        <f>IF(Overflow!K$6&gt;0,ROUND(I25/Overflow!K$6,6),"n/a")</f>
        <v>n/a</v>
      </c>
      <c r="K25" s="332">
        <v>0</v>
      </c>
      <c r="L25" s="914" t="str">
        <f>IF(Overflow!K$8&gt;0,ROUND(K25/Overflow!K$8,6),"n/a")</f>
        <v>n/a</v>
      </c>
      <c r="M25" s="330">
        <f>IF(Overflow!G$8+Overflow!K$6+Overflow!K$8=0,0,ROUND((IF(H25="n/a",0,H25)+IF(J25="n/a",0,J25)+IF(L25="n/a",0,L25))/N$9,6))</f>
        <v>0</v>
      </c>
      <c r="O25" s="785">
        <f>LOOKUP(C25,Cities!A$3:A$343,Cities!AA$3:AA$343)</f>
        <v>0</v>
      </c>
      <c r="P25" s="171"/>
      <c r="Q25" s="171"/>
      <c r="R25" s="171"/>
    </row>
    <row r="26" spans="1:18" ht="18" customHeight="1" x14ac:dyDescent="0.2">
      <c r="A26" s="325">
        <v>60</v>
      </c>
      <c r="B26" s="318"/>
      <c r="C26" s="326">
        <v>1</v>
      </c>
      <c r="D26" s="327">
        <f>LOOKUP(C26,Cities!A$3:A$343,Cities!B$3:B$343)</f>
        <v>0</v>
      </c>
      <c r="E26" s="332">
        <v>0</v>
      </c>
      <c r="F26" s="332">
        <v>0</v>
      </c>
      <c r="G26" s="331">
        <f t="shared" si="0"/>
        <v>0</v>
      </c>
      <c r="H26" s="914" t="str">
        <f t="shared" si="1"/>
        <v>n/a</v>
      </c>
      <c r="I26" s="332">
        <v>0</v>
      </c>
      <c r="J26" s="914" t="str">
        <f>IF(Overflow!K$6&gt;0,ROUND(I26/Overflow!K$6,6),"n/a")</f>
        <v>n/a</v>
      </c>
      <c r="K26" s="332">
        <v>0</v>
      </c>
      <c r="L26" s="914" t="str">
        <f>IF(Overflow!K$8&gt;0,ROUND(K26/Overflow!K$8,6),"n/a")</f>
        <v>n/a</v>
      </c>
      <c r="M26" s="330">
        <f>IF(Overflow!G$8+Overflow!K$6+Overflow!K$8=0,0,ROUND((IF(H26="n/a",0,H26)+IF(J26="n/a",0,J26)+IF(L26="n/a",0,L26))/N$9,6))</f>
        <v>0</v>
      </c>
      <c r="O26" s="785">
        <f>LOOKUP(C26,Cities!A$3:A$343,Cities!AA$3:AA$343)</f>
        <v>0</v>
      </c>
      <c r="P26" s="171"/>
      <c r="Q26" s="171"/>
      <c r="R26" s="171"/>
    </row>
    <row r="27" spans="1:18" s="67" customFormat="1" ht="18" customHeight="1" x14ac:dyDescent="0.2">
      <c r="A27" s="325">
        <v>61</v>
      </c>
      <c r="B27" s="318"/>
      <c r="C27" s="326">
        <v>1</v>
      </c>
      <c r="D27" s="327">
        <f>LOOKUP(C27,Cities!A$3:A$343,Cities!B$3:B$343)</f>
        <v>0</v>
      </c>
      <c r="E27" s="332">
        <v>0</v>
      </c>
      <c r="F27" s="332">
        <v>0</v>
      </c>
      <c r="G27" s="331">
        <f t="shared" si="0"/>
        <v>0</v>
      </c>
      <c r="H27" s="914" t="str">
        <f t="shared" si="1"/>
        <v>n/a</v>
      </c>
      <c r="I27" s="332">
        <v>0</v>
      </c>
      <c r="J27" s="914" t="str">
        <f>IF(Overflow!K$6&gt;0,ROUND(I27/Overflow!K$6,6),"n/a")</f>
        <v>n/a</v>
      </c>
      <c r="K27" s="332">
        <v>0</v>
      </c>
      <c r="L27" s="914" t="str">
        <f>IF(Overflow!K$8&gt;0,ROUND(K27/Overflow!K$8,6),"n/a")</f>
        <v>n/a</v>
      </c>
      <c r="M27" s="330">
        <f>IF(Overflow!G$8+Overflow!K$6+Overflow!K$8=0,0,ROUND((IF(H27="n/a",0,H27)+IF(J27="n/a",0,J27)+IF(L27="n/a",0,L27))/N$9,6))</f>
        <v>0</v>
      </c>
      <c r="O27" s="785">
        <f>LOOKUP(C27,Cities!A$3:A$343,Cities!AA$3:AA$343)</f>
        <v>0</v>
      </c>
      <c r="P27" s="345"/>
      <c r="Q27" s="345"/>
      <c r="R27" s="345"/>
    </row>
    <row r="28" spans="1:18" s="67" customFormat="1" ht="18" customHeight="1" x14ac:dyDescent="0.2">
      <c r="A28" s="325">
        <v>62</v>
      </c>
      <c r="B28" s="318"/>
      <c r="C28" s="326">
        <v>1</v>
      </c>
      <c r="D28" s="327">
        <f>LOOKUP(C28,Cities!A$3:A$343,Cities!B$3:B$343)</f>
        <v>0</v>
      </c>
      <c r="E28" s="332">
        <v>0</v>
      </c>
      <c r="F28" s="332">
        <v>0</v>
      </c>
      <c r="G28" s="331">
        <f t="shared" si="0"/>
        <v>0</v>
      </c>
      <c r="H28" s="914" t="str">
        <f t="shared" si="1"/>
        <v>n/a</v>
      </c>
      <c r="I28" s="332">
        <v>0</v>
      </c>
      <c r="J28" s="914" t="str">
        <f>IF(Overflow!K$6&gt;0,ROUND(I28/Overflow!K$6,6),"n/a")</f>
        <v>n/a</v>
      </c>
      <c r="K28" s="332">
        <v>0</v>
      </c>
      <c r="L28" s="914" t="str">
        <f>IF(Overflow!K$8&gt;0,ROUND(K28/Overflow!K$8,6),"n/a")</f>
        <v>n/a</v>
      </c>
      <c r="M28" s="330">
        <f>IF(Overflow!G$8+Overflow!K$6+Overflow!K$8=0,0,ROUND((IF(H28="n/a",0,H28)+IF(J28="n/a",0,J28)+IF(L28="n/a",0,L28))/N$9,6))</f>
        <v>0</v>
      </c>
      <c r="O28" s="785">
        <f>LOOKUP(C28,Cities!A$3:A$343,Cities!AA$3:AA$343)</f>
        <v>0</v>
      </c>
      <c r="P28" s="345"/>
      <c r="Q28" s="345"/>
      <c r="R28" s="345"/>
    </row>
    <row r="29" spans="1:18" s="67" customFormat="1" ht="18" customHeight="1" x14ac:dyDescent="0.2">
      <c r="A29" s="325">
        <v>63</v>
      </c>
      <c r="B29" s="318"/>
      <c r="C29" s="326">
        <v>1</v>
      </c>
      <c r="D29" s="327">
        <f>LOOKUP(C29,Cities!A$3:A$343,Cities!B$3:B$343)</f>
        <v>0</v>
      </c>
      <c r="E29" s="332">
        <v>0</v>
      </c>
      <c r="F29" s="332">
        <v>0</v>
      </c>
      <c r="G29" s="331">
        <f t="shared" si="0"/>
        <v>0</v>
      </c>
      <c r="H29" s="914" t="str">
        <f t="shared" si="1"/>
        <v>n/a</v>
      </c>
      <c r="I29" s="332">
        <v>0</v>
      </c>
      <c r="J29" s="914" t="str">
        <f>IF(Overflow!K$6&gt;0,ROUND(I29/Overflow!K$6,6),"n/a")</f>
        <v>n/a</v>
      </c>
      <c r="K29" s="332">
        <v>0</v>
      </c>
      <c r="L29" s="914" t="str">
        <f>IF(Overflow!K$8&gt;0,ROUND(K29/Overflow!K$8,6),"n/a")</f>
        <v>n/a</v>
      </c>
      <c r="M29" s="330">
        <f>IF(Overflow!G$8+Overflow!K$6+Overflow!K$8=0,0,ROUND((IF(H29="n/a",0,H29)+IF(J29="n/a",0,J29)+IF(L29="n/a",0,L29))/N$9,6))</f>
        <v>0</v>
      </c>
      <c r="O29" s="785">
        <f>LOOKUP(C29,Cities!A$3:A$343,Cities!AA$3:AA$343)</f>
        <v>0</v>
      </c>
      <c r="P29" s="345"/>
      <c r="Q29" s="345"/>
      <c r="R29" s="345"/>
    </row>
    <row r="30" spans="1:18" s="67" customFormat="1" ht="18" customHeight="1" x14ac:dyDescent="0.2">
      <c r="A30" s="325">
        <v>64</v>
      </c>
      <c r="B30" s="318"/>
      <c r="C30" s="326">
        <v>1</v>
      </c>
      <c r="D30" s="327">
        <f>LOOKUP(C30,Cities!A$3:A$343,Cities!B$3:B$343)</f>
        <v>0</v>
      </c>
      <c r="E30" s="332">
        <v>0</v>
      </c>
      <c r="F30" s="332">
        <v>0</v>
      </c>
      <c r="G30" s="331">
        <f t="shared" si="0"/>
        <v>0</v>
      </c>
      <c r="H30" s="914" t="str">
        <f t="shared" si="1"/>
        <v>n/a</v>
      </c>
      <c r="I30" s="332">
        <v>0</v>
      </c>
      <c r="J30" s="914" t="str">
        <f>IF(Overflow!K$6&gt;0,ROUND(I30/Overflow!K$6,6),"n/a")</f>
        <v>n/a</v>
      </c>
      <c r="K30" s="332">
        <v>0</v>
      </c>
      <c r="L30" s="914" t="str">
        <f>IF(Overflow!K$8&gt;0,ROUND(K30/Overflow!K$8,6),"n/a")</f>
        <v>n/a</v>
      </c>
      <c r="M30" s="330">
        <f>IF(Overflow!G$8+Overflow!K$6+Overflow!K$8=0,0,ROUND((IF(H30="n/a",0,H30)+IF(J30="n/a",0,J30)+IF(L30="n/a",0,L30))/N$9,6))</f>
        <v>0</v>
      </c>
      <c r="O30" s="785">
        <f>LOOKUP(C30,Cities!A$3:A$343,Cities!AA$3:AA$343)</f>
        <v>0</v>
      </c>
      <c r="P30" s="345"/>
      <c r="Q30" s="345"/>
      <c r="R30" s="345"/>
    </row>
    <row r="31" spans="1:18" s="67" customFormat="1" ht="18" customHeight="1" x14ac:dyDescent="0.2">
      <c r="A31" s="325">
        <v>65</v>
      </c>
      <c r="B31" s="318"/>
      <c r="C31" s="326">
        <v>1</v>
      </c>
      <c r="D31" s="327">
        <f>LOOKUP(C31,Cities!A$3:A$343,Cities!B$3:B$343)</f>
        <v>0</v>
      </c>
      <c r="E31" s="332">
        <v>0</v>
      </c>
      <c r="F31" s="332">
        <v>0</v>
      </c>
      <c r="G31" s="331">
        <f t="shared" si="0"/>
        <v>0</v>
      </c>
      <c r="H31" s="914" t="str">
        <f t="shared" si="1"/>
        <v>n/a</v>
      </c>
      <c r="I31" s="332">
        <v>0</v>
      </c>
      <c r="J31" s="914" t="str">
        <f>IF(Overflow!K$6&gt;0,ROUND(I31/Overflow!K$6,6),"n/a")</f>
        <v>n/a</v>
      </c>
      <c r="K31" s="332">
        <v>0</v>
      </c>
      <c r="L31" s="914" t="str">
        <f>IF(Overflow!K$8&gt;0,ROUND(K31/Overflow!K$8,6),"n/a")</f>
        <v>n/a</v>
      </c>
      <c r="M31" s="330">
        <f>IF(Overflow!G$8+Overflow!K$6+Overflow!K$8=0,0,ROUND((IF(H31="n/a",0,H31)+IF(J31="n/a",0,J31)+IF(L31="n/a",0,L31))/N$9,6))</f>
        <v>0</v>
      </c>
      <c r="O31" s="785">
        <f>LOOKUP(C31,Cities!A$3:A$343,Cities!AA$3:AA$343)</f>
        <v>0</v>
      </c>
      <c r="P31" s="345"/>
      <c r="Q31" s="345"/>
      <c r="R31" s="345"/>
    </row>
    <row r="32" spans="1:18" s="67" customFormat="1" ht="18" customHeight="1" x14ac:dyDescent="0.2">
      <c r="A32" s="325">
        <v>66</v>
      </c>
      <c r="B32" s="318"/>
      <c r="C32" s="326">
        <v>1</v>
      </c>
      <c r="D32" s="327">
        <f>LOOKUP(C32,Cities!A$3:A$343,Cities!B$3:B$343)</f>
        <v>0</v>
      </c>
      <c r="E32" s="332">
        <v>0</v>
      </c>
      <c r="F32" s="332">
        <v>0</v>
      </c>
      <c r="G32" s="331">
        <f t="shared" si="0"/>
        <v>0</v>
      </c>
      <c r="H32" s="914" t="str">
        <f t="shared" si="1"/>
        <v>n/a</v>
      </c>
      <c r="I32" s="332">
        <v>0</v>
      </c>
      <c r="J32" s="914" t="str">
        <f>IF(Overflow!K$6&gt;0,ROUND(I32/Overflow!K$6,6),"n/a")</f>
        <v>n/a</v>
      </c>
      <c r="K32" s="332">
        <v>0</v>
      </c>
      <c r="L32" s="914" t="str">
        <f>IF(Overflow!K$8&gt;0,ROUND(K32/Overflow!K$8,6),"n/a")</f>
        <v>n/a</v>
      </c>
      <c r="M32" s="330">
        <f>IF(Overflow!G$8+Overflow!K$6+Overflow!K$8=0,0,ROUND((IF(H32="n/a",0,H32)+IF(J32="n/a",0,J32)+IF(L32="n/a",0,L32))/N$9,6))</f>
        <v>0</v>
      </c>
      <c r="O32" s="785">
        <f>LOOKUP(C32,Cities!A$3:A$343,Cities!AA$3:AA$343)</f>
        <v>0</v>
      </c>
      <c r="P32" s="345"/>
      <c r="Q32" s="345"/>
      <c r="R32" s="345"/>
    </row>
    <row r="33" spans="1:18" s="67" customFormat="1" ht="18" customHeight="1" x14ac:dyDescent="0.2">
      <c r="A33" s="325">
        <v>67</v>
      </c>
      <c r="B33" s="318"/>
      <c r="C33" s="326">
        <v>1</v>
      </c>
      <c r="D33" s="327">
        <f>LOOKUP(C33,Cities!A$3:A$343,Cities!B$3:B$343)</f>
        <v>0</v>
      </c>
      <c r="E33" s="332">
        <v>0</v>
      </c>
      <c r="F33" s="332">
        <v>0</v>
      </c>
      <c r="G33" s="331">
        <f t="shared" si="0"/>
        <v>0</v>
      </c>
      <c r="H33" s="914" t="str">
        <f t="shared" si="1"/>
        <v>n/a</v>
      </c>
      <c r="I33" s="332">
        <v>0</v>
      </c>
      <c r="J33" s="914" t="str">
        <f>IF(Overflow!K$6&gt;0,ROUND(I33/Overflow!K$6,6),"n/a")</f>
        <v>n/a</v>
      </c>
      <c r="K33" s="332">
        <v>0</v>
      </c>
      <c r="L33" s="914" t="str">
        <f>IF(Overflow!K$8&gt;0,ROUND(K33/Overflow!K$8,6),"n/a")</f>
        <v>n/a</v>
      </c>
      <c r="M33" s="330">
        <f>IF(Overflow!G$8+Overflow!K$6+Overflow!K$8=0,0,ROUND((IF(H33="n/a",0,H33)+IF(J33="n/a",0,J33)+IF(L33="n/a",0,L33))/N$9,6))</f>
        <v>0</v>
      </c>
      <c r="O33" s="785">
        <f>LOOKUP(C33,Cities!A$3:A$343,Cities!AA$3:AA$343)</f>
        <v>0</v>
      </c>
      <c r="P33" s="345"/>
      <c r="Q33" s="345"/>
      <c r="R33" s="345"/>
    </row>
    <row r="34" spans="1:18" s="67" customFormat="1" ht="18" customHeight="1" x14ac:dyDescent="0.2">
      <c r="A34" s="325">
        <v>68</v>
      </c>
      <c r="B34" s="318"/>
      <c r="C34" s="326">
        <v>1</v>
      </c>
      <c r="D34" s="327">
        <f>LOOKUP(C34,Cities!A$3:A$343,Cities!B$3:B$343)</f>
        <v>0</v>
      </c>
      <c r="E34" s="332">
        <v>0</v>
      </c>
      <c r="F34" s="332">
        <v>0</v>
      </c>
      <c r="G34" s="331">
        <f t="shared" si="0"/>
        <v>0</v>
      </c>
      <c r="H34" s="914" t="str">
        <f t="shared" si="1"/>
        <v>n/a</v>
      </c>
      <c r="I34" s="332">
        <v>0</v>
      </c>
      <c r="J34" s="914" t="str">
        <f>IF(Overflow!K$6&gt;0,ROUND(I34/Overflow!K$6,6),"n/a")</f>
        <v>n/a</v>
      </c>
      <c r="K34" s="332">
        <v>0</v>
      </c>
      <c r="L34" s="914" t="str">
        <f>IF(Overflow!K$8&gt;0,ROUND(K34/Overflow!K$8,6),"n/a")</f>
        <v>n/a</v>
      </c>
      <c r="M34" s="330">
        <f>IF(Overflow!G$8+Overflow!K$6+Overflow!K$8=0,0,ROUND((IF(H34="n/a",0,H34)+IF(J34="n/a",0,J34)+IF(L34="n/a",0,L34))/N$9,6))</f>
        <v>0</v>
      </c>
      <c r="O34" s="785">
        <f>LOOKUP(C34,Cities!A$3:A$343,Cities!AA$3:AA$343)</f>
        <v>0</v>
      </c>
      <c r="P34" s="345"/>
      <c r="Q34" s="345"/>
      <c r="R34" s="345"/>
    </row>
    <row r="35" spans="1:18" s="67" customFormat="1" ht="18" customHeight="1" x14ac:dyDescent="0.2">
      <c r="A35" s="325">
        <v>69</v>
      </c>
      <c r="B35" s="318"/>
      <c r="C35" s="326">
        <v>1</v>
      </c>
      <c r="D35" s="327">
        <f>LOOKUP(C35,Cities!A$3:A$343,Cities!B$3:B$343)</f>
        <v>0</v>
      </c>
      <c r="E35" s="332">
        <v>0</v>
      </c>
      <c r="F35" s="332">
        <v>0</v>
      </c>
      <c r="G35" s="331">
        <f t="shared" si="0"/>
        <v>0</v>
      </c>
      <c r="H35" s="914" t="str">
        <f t="shared" si="1"/>
        <v>n/a</v>
      </c>
      <c r="I35" s="332">
        <v>0</v>
      </c>
      <c r="J35" s="914" t="str">
        <f>IF(Overflow!K$6&gt;0,ROUND(I35/Overflow!K$6,6),"n/a")</f>
        <v>n/a</v>
      </c>
      <c r="K35" s="332">
        <v>0</v>
      </c>
      <c r="L35" s="914" t="str">
        <f>IF(Overflow!K$8&gt;0,ROUND(K35/Overflow!K$8,6),"n/a")</f>
        <v>n/a</v>
      </c>
      <c r="M35" s="330">
        <f>IF(Overflow!G$8+Overflow!K$6+Overflow!K$8=0,0,ROUND((IF(H35="n/a",0,H35)+IF(J35="n/a",0,J35)+IF(L35="n/a",0,L35))/N$9,6))</f>
        <v>0</v>
      </c>
      <c r="O35" s="785">
        <f>LOOKUP(C35,Cities!A$3:A$343,Cities!AA$3:AA$343)</f>
        <v>0</v>
      </c>
      <c r="P35" s="345"/>
      <c r="Q35" s="345"/>
      <c r="R35" s="345"/>
    </row>
    <row r="36" spans="1:18" s="67" customFormat="1" ht="18" customHeight="1" x14ac:dyDescent="0.2">
      <c r="A36" s="325">
        <v>70</v>
      </c>
      <c r="B36" s="318"/>
      <c r="C36" s="326">
        <v>1</v>
      </c>
      <c r="D36" s="327">
        <f>LOOKUP(C36,Cities!A$3:A$343,Cities!B$3:B$343)</f>
        <v>0</v>
      </c>
      <c r="E36" s="332">
        <v>0</v>
      </c>
      <c r="F36" s="332">
        <v>0</v>
      </c>
      <c r="G36" s="331">
        <f t="shared" si="0"/>
        <v>0</v>
      </c>
      <c r="H36" s="914" t="str">
        <f t="shared" si="1"/>
        <v>n/a</v>
      </c>
      <c r="I36" s="332">
        <v>0</v>
      </c>
      <c r="J36" s="914" t="str">
        <f>IF(Overflow!K$6&gt;0,ROUND(I36/Overflow!K$6,6),"n/a")</f>
        <v>n/a</v>
      </c>
      <c r="K36" s="332">
        <v>0</v>
      </c>
      <c r="L36" s="914" t="str">
        <f>IF(Overflow!K$8&gt;0,ROUND(K36/Overflow!K$8,6),"n/a")</f>
        <v>n/a</v>
      </c>
      <c r="M36" s="330">
        <f>IF(Overflow!G$8+Overflow!K$6+Overflow!K$8=0,0,ROUND((IF(H36="n/a",0,H36)+IF(J36="n/a",0,J36)+IF(L36="n/a",0,L36))/N$9,6))</f>
        <v>0</v>
      </c>
      <c r="O36" s="785">
        <f>LOOKUP(C36,Cities!A$3:A$343,Cities!AA$3:AA$343)</f>
        <v>0</v>
      </c>
      <c r="P36" s="345"/>
      <c r="Q36" s="345"/>
      <c r="R36" s="345"/>
    </row>
    <row r="37" spans="1:18" s="67" customFormat="1" ht="18" customHeight="1" x14ac:dyDescent="0.2">
      <c r="A37" s="325">
        <v>71</v>
      </c>
      <c r="B37" s="318"/>
      <c r="C37" s="326">
        <v>1</v>
      </c>
      <c r="D37" s="327">
        <f>LOOKUP(C37,Cities!A$3:A$343,Cities!B$3:B$343)</f>
        <v>0</v>
      </c>
      <c r="E37" s="332">
        <v>0</v>
      </c>
      <c r="F37" s="332">
        <v>0</v>
      </c>
      <c r="G37" s="331">
        <f t="shared" si="0"/>
        <v>0</v>
      </c>
      <c r="H37" s="914" t="str">
        <f t="shared" si="1"/>
        <v>n/a</v>
      </c>
      <c r="I37" s="332">
        <v>0</v>
      </c>
      <c r="J37" s="914" t="str">
        <f>IF(Overflow!K$6&gt;0,ROUND(I37/Overflow!K$6,6),"n/a")</f>
        <v>n/a</v>
      </c>
      <c r="K37" s="332">
        <v>0</v>
      </c>
      <c r="L37" s="914" t="str">
        <f>IF(Overflow!K$8&gt;0,ROUND(K37/Overflow!K$8,6),"n/a")</f>
        <v>n/a</v>
      </c>
      <c r="M37" s="330">
        <f>IF(Overflow!G$8+Overflow!K$6+Overflow!K$8=0,0,ROUND((IF(H37="n/a",0,H37)+IF(J37="n/a",0,J37)+IF(L37="n/a",0,L37))/N$9,6))</f>
        <v>0</v>
      </c>
      <c r="O37" s="785">
        <f>LOOKUP(C37,Cities!A$3:A$343,Cities!AA$3:AA$343)</f>
        <v>0</v>
      </c>
      <c r="P37" s="345"/>
      <c r="Q37" s="345"/>
      <c r="R37" s="345"/>
    </row>
    <row r="38" spans="1:18" s="67" customFormat="1" ht="18" customHeight="1" x14ac:dyDescent="0.2">
      <c r="A38" s="325">
        <v>72</v>
      </c>
      <c r="B38" s="318"/>
      <c r="C38" s="326">
        <v>1</v>
      </c>
      <c r="D38" s="327">
        <f>LOOKUP(C38,Cities!A$3:A$343,Cities!B$3:B$343)</f>
        <v>0</v>
      </c>
      <c r="E38" s="332">
        <v>0</v>
      </c>
      <c r="F38" s="332">
        <v>0</v>
      </c>
      <c r="G38" s="331">
        <f t="shared" si="0"/>
        <v>0</v>
      </c>
      <c r="H38" s="914" t="str">
        <f t="shared" si="1"/>
        <v>n/a</v>
      </c>
      <c r="I38" s="332">
        <v>0</v>
      </c>
      <c r="J38" s="914" t="str">
        <f>IF(Overflow!K$6&gt;0,ROUND(I38/Overflow!K$6,6),"n/a")</f>
        <v>n/a</v>
      </c>
      <c r="K38" s="332">
        <v>0</v>
      </c>
      <c r="L38" s="914" t="str">
        <f>IF(Overflow!K$8&gt;0,ROUND(K38/Overflow!K$8,6),"n/a")</f>
        <v>n/a</v>
      </c>
      <c r="M38" s="330">
        <f>IF(Overflow!G$8+Overflow!K$6+Overflow!K$8=0,0,ROUND((IF(H38="n/a",0,H38)+IF(J38="n/a",0,J38)+IF(L38="n/a",0,L38))/N$9,6))</f>
        <v>0</v>
      </c>
      <c r="O38" s="785">
        <f>LOOKUP(C38,Cities!A$3:A$343,Cities!AA$3:AA$343)</f>
        <v>0</v>
      </c>
      <c r="P38" s="345"/>
      <c r="Q38" s="345"/>
      <c r="R38" s="345"/>
    </row>
    <row r="39" spans="1:18" s="67" customFormat="1" ht="18" customHeight="1" x14ac:dyDescent="0.2">
      <c r="A39" s="325">
        <v>73</v>
      </c>
      <c r="B39" s="318"/>
      <c r="C39" s="326">
        <v>1</v>
      </c>
      <c r="D39" s="327">
        <f>LOOKUP(C39,Cities!A$3:A$343,Cities!B$3:B$343)</f>
        <v>0</v>
      </c>
      <c r="E39" s="332">
        <v>0</v>
      </c>
      <c r="F39" s="332">
        <v>0</v>
      </c>
      <c r="G39" s="331">
        <f t="shared" si="0"/>
        <v>0</v>
      </c>
      <c r="H39" s="914" t="str">
        <f t="shared" si="1"/>
        <v>n/a</v>
      </c>
      <c r="I39" s="332">
        <v>0</v>
      </c>
      <c r="J39" s="914" t="str">
        <f>IF(Overflow!K$6&gt;0,ROUND(I39/Overflow!K$6,6),"n/a")</f>
        <v>n/a</v>
      </c>
      <c r="K39" s="332">
        <v>0</v>
      </c>
      <c r="L39" s="914" t="str">
        <f>IF(Overflow!K$8&gt;0,ROUND(K39/Overflow!K$8,6),"n/a")</f>
        <v>n/a</v>
      </c>
      <c r="M39" s="330">
        <f>IF(Overflow!G$8+Overflow!K$6+Overflow!K$8=0,0,ROUND((IF(H39="n/a",0,H39)+IF(J39="n/a",0,J39)+IF(L39="n/a",0,L39))/N$9,6))</f>
        <v>0</v>
      </c>
      <c r="O39" s="785">
        <f>LOOKUP(C39,Cities!A$3:A$343,Cities!AA$3:AA$343)</f>
        <v>0</v>
      </c>
      <c r="P39" s="345"/>
      <c r="Q39" s="345"/>
      <c r="R39" s="345"/>
    </row>
    <row r="40" spans="1:18" s="67" customFormat="1" ht="18" customHeight="1" x14ac:dyDescent="0.2">
      <c r="A40" s="325">
        <v>74</v>
      </c>
      <c r="B40" s="318"/>
      <c r="C40" s="326">
        <v>1</v>
      </c>
      <c r="D40" s="327">
        <f>LOOKUP(C40,Cities!A$3:A$343,Cities!B$3:B$343)</f>
        <v>0</v>
      </c>
      <c r="E40" s="332">
        <v>0</v>
      </c>
      <c r="F40" s="332">
        <v>0</v>
      </c>
      <c r="G40" s="331">
        <f t="shared" si="0"/>
        <v>0</v>
      </c>
      <c r="H40" s="914" t="str">
        <f t="shared" si="1"/>
        <v>n/a</v>
      </c>
      <c r="I40" s="332">
        <v>0</v>
      </c>
      <c r="J40" s="914" t="str">
        <f>IF(Overflow!K$6&gt;0,ROUND(I40/Overflow!K$6,6),"n/a")</f>
        <v>n/a</v>
      </c>
      <c r="K40" s="332">
        <v>0</v>
      </c>
      <c r="L40" s="914" t="str">
        <f>IF(Overflow!K$8&gt;0,ROUND(K40/Overflow!K$8,6),"n/a")</f>
        <v>n/a</v>
      </c>
      <c r="M40" s="330">
        <f>IF(Overflow!G$8+Overflow!K$6+Overflow!K$8=0,0,ROUND((IF(H40="n/a",0,H40)+IF(J40="n/a",0,J40)+IF(L40="n/a",0,L40))/N$9,6))</f>
        <v>0</v>
      </c>
      <c r="O40" s="785">
        <f>LOOKUP(C40,Cities!A$3:A$343,Cities!AA$3:AA$343)</f>
        <v>0</v>
      </c>
      <c r="P40" s="345"/>
      <c r="Q40" s="345"/>
      <c r="R40" s="345"/>
    </row>
    <row r="41" spans="1:18" s="67" customFormat="1" ht="18" customHeight="1" x14ac:dyDescent="0.2">
      <c r="A41" s="325">
        <v>75</v>
      </c>
      <c r="B41" s="318"/>
      <c r="C41" s="326">
        <v>1</v>
      </c>
      <c r="D41" s="327">
        <f>LOOKUP(C41,Cities!A$3:A$343,Cities!B$3:B$343)</f>
        <v>0</v>
      </c>
      <c r="E41" s="332">
        <v>0</v>
      </c>
      <c r="F41" s="332">
        <v>0</v>
      </c>
      <c r="G41" s="331">
        <f t="shared" si="0"/>
        <v>0</v>
      </c>
      <c r="H41" s="914" t="str">
        <f t="shared" si="1"/>
        <v>n/a</v>
      </c>
      <c r="I41" s="332">
        <v>0</v>
      </c>
      <c r="J41" s="914" t="str">
        <f>IF(Overflow!K$6&gt;0,ROUND(I41/Overflow!K$6,6),"n/a")</f>
        <v>n/a</v>
      </c>
      <c r="K41" s="332">
        <v>0</v>
      </c>
      <c r="L41" s="914" t="str">
        <f>IF(Overflow!K$8&gt;0,ROUND(K41/Overflow!K$8,6),"n/a")</f>
        <v>n/a</v>
      </c>
      <c r="M41" s="330">
        <f>IF(Overflow!G$8+Overflow!K$6+Overflow!K$8=0,0,ROUND((IF(H41="n/a",0,H41)+IF(J41="n/a",0,J41)+IF(L41="n/a",0,L41))/N$9,6))</f>
        <v>0</v>
      </c>
      <c r="O41" s="785">
        <f>LOOKUP(C41,Cities!A$3:A$343,Cities!AA$3:AA$343)</f>
        <v>0</v>
      </c>
      <c r="P41" s="345"/>
      <c r="Q41" s="345"/>
      <c r="R41" s="345"/>
    </row>
    <row r="42" spans="1:18" s="67" customFormat="1" ht="18" customHeight="1" x14ac:dyDescent="0.2">
      <c r="A42" s="325">
        <v>76</v>
      </c>
      <c r="B42" s="318"/>
      <c r="C42" s="326">
        <v>1</v>
      </c>
      <c r="D42" s="327">
        <f>LOOKUP(C42,Cities!A$3:A$343,Cities!B$3:B$343)</f>
        <v>0</v>
      </c>
      <c r="E42" s="332">
        <v>0</v>
      </c>
      <c r="F42" s="332">
        <v>0</v>
      </c>
      <c r="G42" s="331">
        <f t="shared" si="0"/>
        <v>0</v>
      </c>
      <c r="H42" s="914" t="str">
        <f t="shared" si="1"/>
        <v>n/a</v>
      </c>
      <c r="I42" s="332">
        <v>0</v>
      </c>
      <c r="J42" s="914" t="str">
        <f>IF(Overflow!K$6&gt;0,ROUND(I42/Overflow!K$6,6),"n/a")</f>
        <v>n/a</v>
      </c>
      <c r="K42" s="332">
        <v>0</v>
      </c>
      <c r="L42" s="914" t="str">
        <f>IF(Overflow!K$8&gt;0,ROUND(K42/Overflow!K$8,6),"n/a")</f>
        <v>n/a</v>
      </c>
      <c r="M42" s="330">
        <f>IF(Overflow!G$8+Overflow!K$6+Overflow!K$8=0,0,ROUND((IF(H42="n/a",0,H42)+IF(J42="n/a",0,J42)+IF(L42="n/a",0,L42))/N$9,6))</f>
        <v>0</v>
      </c>
      <c r="O42" s="785">
        <f>LOOKUP(C42,Cities!A$3:A$343,Cities!AA$3:AA$343)</f>
        <v>0</v>
      </c>
      <c r="P42" s="345"/>
      <c r="Q42" s="345"/>
      <c r="R42" s="345"/>
    </row>
    <row r="43" spans="1:18" s="67" customFormat="1" ht="18" customHeight="1" x14ac:dyDescent="0.2">
      <c r="A43" s="325">
        <v>77</v>
      </c>
      <c r="B43" s="318"/>
      <c r="C43" s="326">
        <v>1</v>
      </c>
      <c r="D43" s="327">
        <f>LOOKUP(C43,Cities!A$3:A$343,Cities!B$3:B$343)</f>
        <v>0</v>
      </c>
      <c r="E43" s="332">
        <v>0</v>
      </c>
      <c r="F43" s="332">
        <v>0</v>
      </c>
      <c r="G43" s="331">
        <f t="shared" si="0"/>
        <v>0</v>
      </c>
      <c r="H43" s="914" t="str">
        <f t="shared" si="1"/>
        <v>n/a</v>
      </c>
      <c r="I43" s="332">
        <v>0</v>
      </c>
      <c r="J43" s="914" t="str">
        <f>IF(Overflow!K$6&gt;0,ROUND(I43/Overflow!K$6,6),"n/a")</f>
        <v>n/a</v>
      </c>
      <c r="K43" s="332">
        <v>0</v>
      </c>
      <c r="L43" s="914" t="str">
        <f>IF(Overflow!K$8&gt;0,ROUND(K43/Overflow!K$8,6),"n/a")</f>
        <v>n/a</v>
      </c>
      <c r="M43" s="330">
        <f>IF(Overflow!G$8+Overflow!K$6+Overflow!K$8=0,0,ROUND((IF(H43="n/a",0,H43)+IF(J43="n/a",0,J43)+IF(L43="n/a",0,L43))/N$9,6))</f>
        <v>0</v>
      </c>
      <c r="O43" s="785">
        <f>LOOKUP(C43,Cities!A$3:A$343,Cities!AA$3:AA$343)</f>
        <v>0</v>
      </c>
      <c r="P43" s="345"/>
      <c r="Q43" s="345"/>
      <c r="R43" s="345"/>
    </row>
    <row r="44" spans="1:18" s="67" customFormat="1" ht="18" customHeight="1" x14ac:dyDescent="0.2">
      <c r="A44" s="325">
        <v>78</v>
      </c>
      <c r="B44" s="318"/>
      <c r="C44" s="326">
        <v>1</v>
      </c>
      <c r="D44" s="327">
        <f>LOOKUP(C44,Cities!A$3:A$343,Cities!B$3:B$343)</f>
        <v>0</v>
      </c>
      <c r="E44" s="332">
        <v>0</v>
      </c>
      <c r="F44" s="332">
        <v>0</v>
      </c>
      <c r="G44" s="331">
        <f t="shared" si="0"/>
        <v>0</v>
      </c>
      <c r="H44" s="914" t="str">
        <f t="shared" si="1"/>
        <v>n/a</v>
      </c>
      <c r="I44" s="332">
        <v>0</v>
      </c>
      <c r="J44" s="914" t="str">
        <f>IF(Overflow!K$6&gt;0,ROUND(I44/Overflow!K$6,6),"n/a")</f>
        <v>n/a</v>
      </c>
      <c r="K44" s="332">
        <v>0</v>
      </c>
      <c r="L44" s="914" t="str">
        <f>IF(Overflow!K$8&gt;0,ROUND(K44/Overflow!K$8,6),"n/a")</f>
        <v>n/a</v>
      </c>
      <c r="M44" s="330">
        <f>IF(Overflow!G$8+Overflow!K$6+Overflow!K$8=0,0,ROUND((IF(H44="n/a",0,H44)+IF(J44="n/a",0,J44)+IF(L44="n/a",0,L44))/N$9,6))</f>
        <v>0</v>
      </c>
      <c r="O44" s="785">
        <f>LOOKUP(C44,Cities!A$3:A$343,Cities!AA$3:AA$343)</f>
        <v>0</v>
      </c>
      <c r="P44" s="345"/>
      <c r="Q44" s="345"/>
      <c r="R44" s="345"/>
    </row>
    <row r="45" spans="1:18" s="67" customFormat="1" ht="18" customHeight="1" x14ac:dyDescent="0.2">
      <c r="A45" s="325">
        <v>79</v>
      </c>
      <c r="B45" s="318"/>
      <c r="C45" s="326">
        <v>1</v>
      </c>
      <c r="D45" s="327">
        <f>LOOKUP(C45,Cities!A$3:A$343,Cities!B$3:B$343)</f>
        <v>0</v>
      </c>
      <c r="E45" s="332">
        <v>0</v>
      </c>
      <c r="F45" s="332">
        <v>0</v>
      </c>
      <c r="G45" s="331">
        <f t="shared" si="0"/>
        <v>0</v>
      </c>
      <c r="H45" s="914" t="str">
        <f t="shared" si="1"/>
        <v>n/a</v>
      </c>
      <c r="I45" s="332">
        <v>0</v>
      </c>
      <c r="J45" s="914" t="str">
        <f>IF(Overflow!K$6&gt;0,ROUND(I45/Overflow!K$6,6),"n/a")</f>
        <v>n/a</v>
      </c>
      <c r="K45" s="332">
        <v>0</v>
      </c>
      <c r="L45" s="914" t="str">
        <f>IF(Overflow!K$8&gt;0,ROUND(K45/Overflow!K$8,6),"n/a")</f>
        <v>n/a</v>
      </c>
      <c r="M45" s="330">
        <f>IF(Overflow!G$8+Overflow!K$6+Overflow!K$8=0,0,ROUND((IF(H45="n/a",0,H45)+IF(J45="n/a",0,J45)+IF(L45="n/a",0,L45))/N$9,6))</f>
        <v>0</v>
      </c>
      <c r="O45" s="785">
        <f>LOOKUP(C45,Cities!A$3:A$343,Cities!AA$3:AA$343)</f>
        <v>0</v>
      </c>
      <c r="P45" s="345"/>
      <c r="Q45" s="345"/>
      <c r="R45" s="345"/>
    </row>
    <row r="46" spans="1:18" s="67" customFormat="1" ht="18" customHeight="1" x14ac:dyDescent="0.2">
      <c r="A46" s="325">
        <v>80</v>
      </c>
      <c r="B46" s="318"/>
      <c r="C46" s="326">
        <v>1</v>
      </c>
      <c r="D46" s="327">
        <f>LOOKUP(C46,Cities!A$3:A$343,Cities!B$3:B$343)</f>
        <v>0</v>
      </c>
      <c r="E46" s="332">
        <v>0</v>
      </c>
      <c r="F46" s="332">
        <v>0</v>
      </c>
      <c r="G46" s="331">
        <f t="shared" si="0"/>
        <v>0</v>
      </c>
      <c r="H46" s="914" t="str">
        <f t="shared" si="1"/>
        <v>n/a</v>
      </c>
      <c r="I46" s="332">
        <v>0</v>
      </c>
      <c r="J46" s="914" t="str">
        <f>IF(Overflow!K$6&gt;0,ROUND(I46/Overflow!K$6,6),"n/a")</f>
        <v>n/a</v>
      </c>
      <c r="K46" s="332">
        <v>0</v>
      </c>
      <c r="L46" s="914" t="str">
        <f>IF(Overflow!K$8&gt;0,ROUND(K46/Overflow!K$8,6),"n/a")</f>
        <v>n/a</v>
      </c>
      <c r="M46" s="330">
        <f>IF(Overflow!G$8+Overflow!K$6+Overflow!K$8=0,0,ROUND((IF(H46="n/a",0,H46)+IF(J46="n/a",0,J46)+IF(L46="n/a",0,L46))/N$9,6))</f>
        <v>0</v>
      </c>
      <c r="O46" s="785">
        <f>LOOKUP(C46,Cities!A$3:A$343,Cities!AA$3:AA$343)</f>
        <v>0</v>
      </c>
      <c r="P46" s="345"/>
      <c r="Q46" s="345"/>
      <c r="R46" s="345"/>
    </row>
    <row r="47" spans="1:18" s="67" customFormat="1" ht="18" customHeight="1" x14ac:dyDescent="0.2">
      <c r="A47" s="325">
        <v>81</v>
      </c>
      <c r="B47" s="318"/>
      <c r="C47" s="326">
        <v>1</v>
      </c>
      <c r="D47" s="327">
        <f>LOOKUP(C47,Cities!A$3:A$343,Cities!B$3:B$343)</f>
        <v>0</v>
      </c>
      <c r="E47" s="332">
        <v>0</v>
      </c>
      <c r="F47" s="332">
        <v>0</v>
      </c>
      <c r="G47" s="331">
        <f t="shared" si="0"/>
        <v>0</v>
      </c>
      <c r="H47" s="914" t="str">
        <f t="shared" si="1"/>
        <v>n/a</v>
      </c>
      <c r="I47" s="332">
        <v>0</v>
      </c>
      <c r="J47" s="914" t="str">
        <f>IF(Overflow!K$6&gt;0,ROUND(I47/Overflow!K$6,6),"n/a")</f>
        <v>n/a</v>
      </c>
      <c r="K47" s="332">
        <v>0</v>
      </c>
      <c r="L47" s="914" t="str">
        <f>IF(Overflow!K$8&gt;0,ROUND(K47/Overflow!K$8,6),"n/a")</f>
        <v>n/a</v>
      </c>
      <c r="M47" s="330">
        <f>IF(Overflow!G$8+Overflow!K$6+Overflow!K$8=0,0,ROUND((IF(H47="n/a",0,H47)+IF(J47="n/a",0,J47)+IF(L47="n/a",0,L47))/N$9,6))</f>
        <v>0</v>
      </c>
      <c r="O47" s="785">
        <f>LOOKUP(C47,Cities!A$3:A$343,Cities!AA$3:AA$343)</f>
        <v>0</v>
      </c>
      <c r="P47" s="345"/>
      <c r="Q47" s="345"/>
      <c r="R47" s="345"/>
    </row>
    <row r="48" spans="1:18" s="67" customFormat="1" ht="18" customHeight="1" x14ac:dyDescent="0.2">
      <c r="A48" s="325">
        <v>82</v>
      </c>
      <c r="B48" s="318"/>
      <c r="C48" s="326">
        <v>1</v>
      </c>
      <c r="D48" s="327">
        <f>LOOKUP(C48,Cities!A$3:A$343,Cities!B$3:B$343)</f>
        <v>0</v>
      </c>
      <c r="E48" s="332">
        <v>0</v>
      </c>
      <c r="F48" s="332">
        <v>0</v>
      </c>
      <c r="G48" s="331">
        <f t="shared" si="0"/>
        <v>0</v>
      </c>
      <c r="H48" s="914" t="str">
        <f t="shared" si="1"/>
        <v>n/a</v>
      </c>
      <c r="I48" s="332">
        <v>0</v>
      </c>
      <c r="J48" s="914" t="str">
        <f>IF(Overflow!K$6&gt;0,ROUND(I48/Overflow!K$6,6),"n/a")</f>
        <v>n/a</v>
      </c>
      <c r="K48" s="332">
        <v>0</v>
      </c>
      <c r="L48" s="914" t="str">
        <f>IF(Overflow!K$8&gt;0,ROUND(K48/Overflow!K$8,6),"n/a")</f>
        <v>n/a</v>
      </c>
      <c r="M48" s="330">
        <f>IF(Overflow!G$8+Overflow!K$6+Overflow!K$8=0,0,ROUND((IF(H48="n/a",0,H48)+IF(J48="n/a",0,J48)+IF(L48="n/a",0,L48))/N$9,6))</f>
        <v>0</v>
      </c>
      <c r="O48" s="785">
        <f>LOOKUP(C48,Cities!A$3:A$343,Cities!AA$3:AA$343)</f>
        <v>0</v>
      </c>
      <c r="P48" s="345"/>
      <c r="Q48" s="345"/>
      <c r="R48" s="345"/>
    </row>
    <row r="49" spans="1:18" s="67" customFormat="1" ht="18" customHeight="1" x14ac:dyDescent="0.2">
      <c r="A49" s="325">
        <v>83</v>
      </c>
      <c r="B49" s="318"/>
      <c r="C49" s="326">
        <v>1</v>
      </c>
      <c r="D49" s="327">
        <f>LOOKUP(C49,Cities!A$3:A$343,Cities!B$3:B$343)</f>
        <v>0</v>
      </c>
      <c r="E49" s="332">
        <v>0</v>
      </c>
      <c r="F49" s="332">
        <v>0</v>
      </c>
      <c r="G49" s="331">
        <f t="shared" si="0"/>
        <v>0</v>
      </c>
      <c r="H49" s="914" t="str">
        <f t="shared" si="1"/>
        <v>n/a</v>
      </c>
      <c r="I49" s="332">
        <v>0</v>
      </c>
      <c r="J49" s="914" t="str">
        <f>IF(Overflow!K$6&gt;0,ROUND(I49/Overflow!K$6,6),"n/a")</f>
        <v>n/a</v>
      </c>
      <c r="K49" s="332">
        <v>0</v>
      </c>
      <c r="L49" s="914" t="str">
        <f>IF(Overflow!K$8&gt;0,ROUND(K49/Overflow!K$8,6),"n/a")</f>
        <v>n/a</v>
      </c>
      <c r="M49" s="330">
        <f>IF(Overflow!G$8+Overflow!K$6+Overflow!K$8=0,0,ROUND((IF(H49="n/a",0,H49)+IF(J49="n/a",0,J49)+IF(L49="n/a",0,L49))/N$9,6))</f>
        <v>0</v>
      </c>
      <c r="O49" s="785">
        <f>LOOKUP(C49,Cities!A$3:A$343,Cities!AA$3:AA$343)</f>
        <v>0</v>
      </c>
      <c r="P49" s="345"/>
      <c r="Q49" s="345"/>
      <c r="R49" s="345"/>
    </row>
    <row r="50" spans="1:18" s="67" customFormat="1" ht="18" customHeight="1" x14ac:dyDescent="0.2">
      <c r="A50" s="325">
        <v>84</v>
      </c>
      <c r="B50" s="318"/>
      <c r="C50" s="326">
        <v>1</v>
      </c>
      <c r="D50" s="327">
        <f>LOOKUP(C50,Cities!A$3:A$343,Cities!B$3:B$343)</f>
        <v>0</v>
      </c>
      <c r="E50" s="332">
        <v>0</v>
      </c>
      <c r="F50" s="332">
        <v>0</v>
      </c>
      <c r="G50" s="331">
        <f t="shared" si="0"/>
        <v>0</v>
      </c>
      <c r="H50" s="914" t="str">
        <f t="shared" si="1"/>
        <v>n/a</v>
      </c>
      <c r="I50" s="332">
        <v>0</v>
      </c>
      <c r="J50" s="914" t="str">
        <f>IF(Overflow!K$6&gt;0,ROUND(I50/Overflow!K$6,6),"n/a")</f>
        <v>n/a</v>
      </c>
      <c r="K50" s="332">
        <v>0</v>
      </c>
      <c r="L50" s="914" t="str">
        <f>IF(Overflow!K$8&gt;0,ROUND(K50/Overflow!K$8,6),"n/a")</f>
        <v>n/a</v>
      </c>
      <c r="M50" s="330">
        <f>IF(Overflow!G$8+Overflow!K$6+Overflow!K$8=0,0,ROUND((IF(H50="n/a",0,H50)+IF(J50="n/a",0,J50)+IF(L50="n/a",0,L50))/N$9,6))</f>
        <v>0</v>
      </c>
      <c r="O50" s="785">
        <f>LOOKUP(C50,Cities!A$3:A$343,Cities!AA$3:AA$343)</f>
        <v>0</v>
      </c>
      <c r="P50" s="345"/>
      <c r="Q50" s="345"/>
      <c r="R50" s="345"/>
    </row>
    <row r="51" spans="1:18" s="67" customFormat="1" ht="18" customHeight="1" x14ac:dyDescent="0.2">
      <c r="A51" s="325">
        <v>85</v>
      </c>
      <c r="B51" s="318"/>
      <c r="C51" s="326">
        <v>1</v>
      </c>
      <c r="D51" s="327">
        <f>LOOKUP(C51,Cities!A$3:A$343,Cities!B$3:B$343)</f>
        <v>0</v>
      </c>
      <c r="E51" s="332">
        <v>0</v>
      </c>
      <c r="F51" s="332">
        <v>0</v>
      </c>
      <c r="G51" s="331">
        <f t="shared" si="0"/>
        <v>0</v>
      </c>
      <c r="H51" s="914" t="str">
        <f t="shared" si="1"/>
        <v>n/a</v>
      </c>
      <c r="I51" s="332">
        <v>0</v>
      </c>
      <c r="J51" s="914" t="str">
        <f>IF(Overflow!K$6&gt;0,ROUND(I51/Overflow!K$6,6),"n/a")</f>
        <v>n/a</v>
      </c>
      <c r="K51" s="332">
        <v>0</v>
      </c>
      <c r="L51" s="914" t="str">
        <f>IF(Overflow!K$8&gt;0,ROUND(K51/Overflow!K$8,6),"n/a")</f>
        <v>n/a</v>
      </c>
      <c r="M51" s="330">
        <f>IF(Overflow!G$8+Overflow!K$6+Overflow!K$8=0,0,ROUND((IF(H51="n/a",0,H51)+IF(J51="n/a",0,J51)+IF(L51="n/a",0,L51))/N$9,6))</f>
        <v>0</v>
      </c>
      <c r="O51" s="785">
        <f>LOOKUP(C51,Cities!A$3:A$343,Cities!AA$3:AA$343)</f>
        <v>0</v>
      </c>
      <c r="P51" s="345"/>
      <c r="Q51" s="345"/>
      <c r="R51" s="345"/>
    </row>
    <row r="52" spans="1:18" s="67" customFormat="1" ht="18" customHeight="1" x14ac:dyDescent="0.2">
      <c r="A52" s="325">
        <v>86</v>
      </c>
      <c r="B52" s="318"/>
      <c r="C52" s="326">
        <v>1</v>
      </c>
      <c r="D52" s="327">
        <f>LOOKUP(C52,Cities!A$3:A$343,Cities!B$3:B$343)</f>
        <v>0</v>
      </c>
      <c r="E52" s="332">
        <v>0</v>
      </c>
      <c r="F52" s="332">
        <v>0</v>
      </c>
      <c r="G52" s="331">
        <f t="shared" si="0"/>
        <v>0</v>
      </c>
      <c r="H52" s="914" t="str">
        <f t="shared" si="1"/>
        <v>n/a</v>
      </c>
      <c r="I52" s="332">
        <v>0</v>
      </c>
      <c r="J52" s="914" t="str">
        <f>IF(Overflow!K$6&gt;0,ROUND(I52/Overflow!K$6,6),"n/a")</f>
        <v>n/a</v>
      </c>
      <c r="K52" s="332">
        <v>0</v>
      </c>
      <c r="L52" s="914" t="str">
        <f>IF(Overflow!K$8&gt;0,ROUND(K52/Overflow!K$8,6),"n/a")</f>
        <v>n/a</v>
      </c>
      <c r="M52" s="330">
        <f>IF(Overflow!G$8+Overflow!K$6+Overflow!K$8=0,0,ROUND((IF(H52="n/a",0,H52)+IF(J52="n/a",0,J52)+IF(L52="n/a",0,L52))/N$9,6))</f>
        <v>0</v>
      </c>
      <c r="O52" s="785">
        <f>LOOKUP(C52,Cities!A$3:A$343,Cities!AA$3:AA$343)</f>
        <v>0</v>
      </c>
      <c r="P52" s="345"/>
      <c r="Q52" s="345"/>
      <c r="R52" s="345"/>
    </row>
    <row r="53" spans="1:18" s="67" customFormat="1" ht="18" customHeight="1" x14ac:dyDescent="0.2">
      <c r="A53" s="325">
        <v>87</v>
      </c>
      <c r="B53" s="318"/>
      <c r="C53" s="326">
        <v>1</v>
      </c>
      <c r="D53" s="327">
        <f>LOOKUP(C53,Cities!A$3:A$343,Cities!B$3:B$343)</f>
        <v>0</v>
      </c>
      <c r="E53" s="332">
        <v>0</v>
      </c>
      <c r="F53" s="332">
        <v>0</v>
      </c>
      <c r="G53" s="331">
        <f t="shared" si="0"/>
        <v>0</v>
      </c>
      <c r="H53" s="914" t="str">
        <f t="shared" si="1"/>
        <v>n/a</v>
      </c>
      <c r="I53" s="332">
        <v>0</v>
      </c>
      <c r="J53" s="914" t="str">
        <f>IF(Overflow!K$6&gt;0,ROUND(I53/Overflow!K$6,6),"n/a")</f>
        <v>n/a</v>
      </c>
      <c r="K53" s="332">
        <v>0</v>
      </c>
      <c r="L53" s="914" t="str">
        <f>IF(Overflow!K$8&gt;0,ROUND(K53/Overflow!K$8,6),"n/a")</f>
        <v>n/a</v>
      </c>
      <c r="M53" s="330">
        <f>IF(Overflow!G$8+Overflow!K$6+Overflow!K$8=0,0,ROUND((IF(H53="n/a",0,H53)+IF(J53="n/a",0,J53)+IF(L53="n/a",0,L53))/N$9,6))</f>
        <v>0</v>
      </c>
      <c r="O53" s="785">
        <f>LOOKUP(C53,Cities!A$3:A$343,Cities!AA$3:AA$343)</f>
        <v>0</v>
      </c>
      <c r="P53" s="345"/>
      <c r="Q53" s="345"/>
      <c r="R53" s="345"/>
    </row>
    <row r="54" spans="1:18" s="67" customFormat="1" ht="18" customHeight="1" x14ac:dyDescent="0.2">
      <c r="A54" s="325">
        <v>88</v>
      </c>
      <c r="B54" s="318"/>
      <c r="C54" s="326">
        <v>1</v>
      </c>
      <c r="D54" s="327">
        <f>LOOKUP(C54,Cities!A$3:A$343,Cities!B$3:B$343)</f>
        <v>0</v>
      </c>
      <c r="E54" s="332">
        <v>0</v>
      </c>
      <c r="F54" s="332">
        <v>0</v>
      </c>
      <c r="G54" s="331">
        <f t="shared" si="0"/>
        <v>0</v>
      </c>
      <c r="H54" s="914" t="str">
        <f t="shared" si="1"/>
        <v>n/a</v>
      </c>
      <c r="I54" s="332">
        <v>0</v>
      </c>
      <c r="J54" s="914" t="str">
        <f>IF(Overflow!K$6&gt;0,ROUND(I54/Overflow!K$6,6),"n/a")</f>
        <v>n/a</v>
      </c>
      <c r="K54" s="332">
        <v>0</v>
      </c>
      <c r="L54" s="914" t="str">
        <f>IF(Overflow!K$8&gt;0,ROUND(K54/Overflow!K$8,6),"n/a")</f>
        <v>n/a</v>
      </c>
      <c r="M54" s="330">
        <f>IF(Overflow!G$8+Overflow!K$6+Overflow!K$8=0,0,ROUND((IF(H54="n/a",0,H54)+IF(J54="n/a",0,J54)+IF(L54="n/a",0,L54))/N$9,6))</f>
        <v>0</v>
      </c>
      <c r="O54" s="785">
        <f>LOOKUP(C54,Cities!A$3:A$343,Cities!AA$3:AA$343)</f>
        <v>0</v>
      </c>
      <c r="P54" s="345"/>
      <c r="Q54" s="345"/>
      <c r="R54" s="345"/>
    </row>
    <row r="55" spans="1:18" s="67" customFormat="1" ht="18" customHeight="1" x14ac:dyDescent="0.2">
      <c r="A55" s="325">
        <v>89</v>
      </c>
      <c r="B55" s="318"/>
      <c r="C55" s="326">
        <v>1</v>
      </c>
      <c r="D55" s="327">
        <f>LOOKUP(C55,Cities!A$3:A$343,Cities!B$3:B$343)</f>
        <v>0</v>
      </c>
      <c r="E55" s="332">
        <v>0</v>
      </c>
      <c r="F55" s="332">
        <v>0</v>
      </c>
      <c r="G55" s="331">
        <f t="shared" si="0"/>
        <v>0</v>
      </c>
      <c r="H55" s="914" t="str">
        <f t="shared" si="1"/>
        <v>n/a</v>
      </c>
      <c r="I55" s="332">
        <v>0</v>
      </c>
      <c r="J55" s="914" t="str">
        <f>IF(Overflow!K$6&gt;0,ROUND(I55/Overflow!K$6,6),"n/a")</f>
        <v>n/a</v>
      </c>
      <c r="K55" s="332">
        <v>0</v>
      </c>
      <c r="L55" s="914" t="str">
        <f>IF(Overflow!K$8&gt;0,ROUND(K55/Overflow!K$8,6),"n/a")</f>
        <v>n/a</v>
      </c>
      <c r="M55" s="330">
        <f>IF(Overflow!G$8+Overflow!K$6+Overflow!K$8=0,0,ROUND((IF(H55="n/a",0,H55)+IF(J55="n/a",0,J55)+IF(L55="n/a",0,L55))/N$9,6))</f>
        <v>0</v>
      </c>
      <c r="O55" s="785">
        <f>LOOKUP(C55,Cities!A$3:A$343,Cities!AA$3:AA$343)</f>
        <v>0</v>
      </c>
      <c r="P55" s="345"/>
      <c r="Q55" s="345"/>
      <c r="R55" s="345"/>
    </row>
    <row r="56" spans="1:18" s="67" customFormat="1" ht="18" customHeight="1" x14ac:dyDescent="0.2">
      <c r="A56" s="325">
        <v>90</v>
      </c>
      <c r="B56" s="318"/>
      <c r="C56" s="326">
        <v>1</v>
      </c>
      <c r="D56" s="327">
        <f>LOOKUP(C56,Cities!A$3:A$343,Cities!B$3:B$343)</f>
        <v>0</v>
      </c>
      <c r="E56" s="332">
        <v>0</v>
      </c>
      <c r="F56" s="332">
        <v>0</v>
      </c>
      <c r="G56" s="331">
        <f t="shared" si="0"/>
        <v>0</v>
      </c>
      <c r="H56" s="914" t="str">
        <f t="shared" si="1"/>
        <v>n/a</v>
      </c>
      <c r="I56" s="332">
        <v>0</v>
      </c>
      <c r="J56" s="914" t="str">
        <f>IF(Overflow!K$6&gt;0,ROUND(I56/Overflow!K$6,6),"n/a")</f>
        <v>n/a</v>
      </c>
      <c r="K56" s="332">
        <v>0</v>
      </c>
      <c r="L56" s="914" t="str">
        <f>IF(Overflow!K$8&gt;0,ROUND(K56/Overflow!K$8,6),"n/a")</f>
        <v>n/a</v>
      </c>
      <c r="M56" s="330">
        <f>IF(Overflow!G$8+Overflow!K$6+Overflow!K$8=0,0,ROUND((IF(H56="n/a",0,H56)+IF(J56="n/a",0,J56)+IF(L56="n/a",0,L56))/N$9,6))</f>
        <v>0</v>
      </c>
      <c r="O56" s="785">
        <f>LOOKUP(C56,Cities!A$3:A$343,Cities!AA$3:AA$343)</f>
        <v>0</v>
      </c>
      <c r="P56" s="345"/>
      <c r="Q56" s="345"/>
      <c r="R56" s="345"/>
    </row>
    <row r="57" spans="1:18" s="67" customFormat="1" ht="18" customHeight="1" x14ac:dyDescent="0.2">
      <c r="M57" s="341">
        <f>SUM(M12:M56)</f>
        <v>0</v>
      </c>
      <c r="O57" s="345"/>
      <c r="P57" s="345"/>
      <c r="Q57" s="345"/>
      <c r="R57" s="345"/>
    </row>
    <row r="58" spans="1:18" s="67" customFormat="1" x14ac:dyDescent="0.2">
      <c r="B58" s="851"/>
      <c r="K58" s="1567" t="s">
        <v>1669</v>
      </c>
      <c r="O58" s="852"/>
      <c r="P58" s="345"/>
      <c r="Q58" s="345"/>
      <c r="R58" s="345"/>
    </row>
    <row r="59" spans="1:18" s="1" customFormat="1" ht="27.75" customHeight="1" x14ac:dyDescent="0.4">
      <c r="A59" s="1372" t="s">
        <v>372</v>
      </c>
      <c r="B59" s="1540"/>
      <c r="C59" s="216"/>
      <c r="D59" s="1541" t="s">
        <v>373</v>
      </c>
      <c r="E59" s="1338"/>
      <c r="F59" s="1338"/>
      <c r="G59" s="1338"/>
      <c r="H59" s="1338"/>
      <c r="I59" s="1338"/>
      <c r="J59" s="1338"/>
      <c r="K59" s="1560"/>
      <c r="L59" s="1380">
        <f>+L1</f>
        <v>2018</v>
      </c>
      <c r="M59" s="1381"/>
      <c r="O59" s="291"/>
      <c r="P59" s="344"/>
      <c r="Q59" s="344"/>
      <c r="R59" s="344"/>
    </row>
    <row r="60" spans="1:18" s="1" customFormat="1" ht="17.25" customHeight="1" x14ac:dyDescent="0.2">
      <c r="A60" s="1545" t="s">
        <v>159</v>
      </c>
      <c r="B60" s="1546"/>
      <c r="C60" s="217"/>
      <c r="D60" s="1557"/>
      <c r="E60" s="1558"/>
      <c r="F60" s="1558"/>
      <c r="G60" s="1558"/>
      <c r="H60" s="1558"/>
      <c r="I60" s="1558"/>
      <c r="J60" s="1558"/>
      <c r="K60" s="838"/>
      <c r="L60" s="1382" t="str">
        <f>+'Complete This Page'!J1</f>
        <v>NPAC v2018.0</v>
      </c>
      <c r="M60" s="1383"/>
      <c r="O60" s="291"/>
      <c r="P60" s="344"/>
      <c r="Q60" s="344"/>
      <c r="R60" s="344"/>
    </row>
    <row r="61" spans="1:18" s="1" customFormat="1" x14ac:dyDescent="0.2">
      <c r="A61" s="1" t="s">
        <v>467</v>
      </c>
      <c r="B61" s="839"/>
      <c r="C61" s="839"/>
      <c r="D61" s="839"/>
      <c r="E61" s="839"/>
      <c r="F61" s="839"/>
      <c r="G61" s="839"/>
      <c r="H61" s="839"/>
      <c r="I61" s="840"/>
      <c r="J61" s="334"/>
      <c r="K61" s="335" t="s">
        <v>466</v>
      </c>
      <c r="O61" s="291"/>
      <c r="P61" s="344"/>
      <c r="Q61" s="344"/>
      <c r="R61" s="344"/>
    </row>
    <row r="62" spans="1:18" s="1" customFormat="1" ht="18" x14ac:dyDescent="0.25">
      <c r="A62" s="25"/>
      <c r="B62" s="1377">
        <f>+B4</f>
        <v>0</v>
      </c>
      <c r="C62" s="1377"/>
      <c r="D62" s="1377"/>
      <c r="E62" s="1377"/>
      <c r="F62" s="1377"/>
      <c r="G62" s="1377"/>
      <c r="H62" s="1377"/>
      <c r="I62" s="1377"/>
      <c r="J62" s="1378"/>
      <c r="K62" s="1350">
        <f>+K4</f>
        <v>0</v>
      </c>
      <c r="L62" s="1351"/>
      <c r="M62" s="1351"/>
      <c r="O62" s="291"/>
      <c r="P62" s="344"/>
      <c r="Q62" s="344"/>
      <c r="R62" s="344"/>
    </row>
    <row r="63" spans="1:18" x14ac:dyDescent="0.2">
      <c r="A63" s="328"/>
      <c r="O63" s="786"/>
      <c r="P63" s="171"/>
      <c r="Q63" s="171"/>
      <c r="R63" s="171"/>
    </row>
    <row r="64" spans="1:18" ht="47.25" customHeight="1" x14ac:dyDescent="0.2">
      <c r="B64" s="322"/>
      <c r="C64" s="1"/>
      <c r="D64" s="1547" t="s">
        <v>588</v>
      </c>
      <c r="E64" s="1547" t="s">
        <v>1684</v>
      </c>
      <c r="F64" s="1547" t="s">
        <v>1690</v>
      </c>
      <c r="G64" s="1553" t="s">
        <v>1685</v>
      </c>
      <c r="H64" s="1554"/>
      <c r="I64" s="1553" t="s">
        <v>1712</v>
      </c>
      <c r="J64" s="1554"/>
      <c r="K64" s="21"/>
      <c r="L64" s="1539"/>
      <c r="M64" s="1123"/>
      <c r="O64" s="1565"/>
      <c r="P64" s="171"/>
      <c r="Q64" s="171"/>
      <c r="R64" s="171"/>
    </row>
    <row r="65" spans="1:18" x14ac:dyDescent="0.2">
      <c r="B65" s="323" t="s">
        <v>618</v>
      </c>
      <c r="C65" s="324" t="s">
        <v>164</v>
      </c>
      <c r="D65" s="1548"/>
      <c r="E65" s="1552"/>
      <c r="F65" s="1552"/>
      <c r="G65" s="1555"/>
      <c r="H65" s="1556"/>
      <c r="I65" s="1555"/>
      <c r="J65" s="1556"/>
      <c r="K65" s="22" t="s">
        <v>561</v>
      </c>
      <c r="L65" s="1064" t="s">
        <v>562</v>
      </c>
      <c r="M65" s="1549"/>
      <c r="O65" s="1565"/>
      <c r="P65" s="171"/>
      <c r="Q65" s="171"/>
      <c r="R65" s="171"/>
    </row>
    <row r="66" spans="1:18" ht="15" x14ac:dyDescent="0.2">
      <c r="A66" s="325">
        <v>46</v>
      </c>
      <c r="B66" s="336" t="str">
        <f>IF(C66=1,"",LOOKUP(C66,Cities!A$3:A$343,Cities!C$3:C$343))</f>
        <v/>
      </c>
      <c r="C66" s="338">
        <f t="shared" ref="C66:D85" si="2">+C12</f>
        <v>1</v>
      </c>
      <c r="D66" s="337">
        <f t="shared" si="2"/>
        <v>0</v>
      </c>
      <c r="E66" s="812">
        <f>ROUND('Print Return'!$L$37*'Overflow (2)'!M12,0)</f>
        <v>0</v>
      </c>
      <c r="F66" s="955"/>
      <c r="G66" s="1524"/>
      <c r="H66" s="1524"/>
      <c r="I66" s="1525">
        <f>IF(Data!D$33=TRUE,'Overflows Worksheet'!K54,'Overflows Worksheet'!T54)</f>
        <v>0</v>
      </c>
      <c r="J66" s="1525"/>
      <c r="K66" s="853">
        <f>LOOKUP(C12,Cities!A$3:A$343,Cities!D$3:D$343)</f>
        <v>0</v>
      </c>
      <c r="L66" s="1522">
        <f>IF(AND(I66&gt;0, OR(I66*K66&gt;10,$L$1&lt;2016)),ROUND(I66*K66,0),0)</f>
        <v>0</v>
      </c>
      <c r="M66" s="1523"/>
      <c r="N66" s="339">
        <f>LOOKUP($C12,Cities!$A$3:$A$356,Cities!$V$3:$V$356)</f>
        <v>0</v>
      </c>
      <c r="O66" s="936" t="str">
        <f>IF(AND(ISNUMBER($L$1)=TRUE,ISNUMBER(O12)=TRUE,O12&gt;=$L$1-5), CONCATENATE("Last 0% tax rate year ", O12),"")</f>
        <v/>
      </c>
      <c r="P66" s="785"/>
      <c r="Q66" s="785">
        <f>IF(P66=FALSE,F66,0)</f>
        <v>0</v>
      </c>
      <c r="R66" s="171"/>
    </row>
    <row r="67" spans="1:18" ht="15" x14ac:dyDescent="0.2">
      <c r="A67" s="325">
        <v>47</v>
      </c>
      <c r="B67" s="336" t="str">
        <f>IF(C67=1,"",LOOKUP(C67,Cities!A$3:A$343,Cities!C$3:C$343))</f>
        <v/>
      </c>
      <c r="C67" s="338">
        <f t="shared" si="2"/>
        <v>1</v>
      </c>
      <c r="D67" s="337">
        <f t="shared" si="2"/>
        <v>0</v>
      </c>
      <c r="E67" s="812">
        <f>ROUND('Print Return'!$L$37*'Overflow (2)'!M13,0)</f>
        <v>0</v>
      </c>
      <c r="F67" s="955"/>
      <c r="G67" s="1524"/>
      <c r="H67" s="1524"/>
      <c r="I67" s="1525">
        <f>IF(Data!D$33=TRUE,'Overflows Worksheet'!K55,'Overflows Worksheet'!T55)</f>
        <v>0</v>
      </c>
      <c r="J67" s="1525"/>
      <c r="K67" s="853">
        <f>LOOKUP(C13,Cities!A$3:A$343,Cities!D$3:D$343)</f>
        <v>0</v>
      </c>
      <c r="L67" s="1522">
        <f t="shared" ref="L67:L110" si="3">IF(AND(I67&gt;0, OR(I67*K67&gt;10,$L$1&lt;2016)),ROUND(I67*K67,0),0)</f>
        <v>0</v>
      </c>
      <c r="M67" s="1523"/>
      <c r="N67" s="339">
        <f>LOOKUP($C13,Cities!$A$3:$A$356,Cities!$V$3:$V$356)</f>
        <v>0</v>
      </c>
      <c r="O67" s="936" t="str">
        <f t="shared" ref="O67:O110" si="4">IF(AND(ISNUMBER($L$1)=TRUE,ISNUMBER(O13)=TRUE,O13&gt;=$L$1-5), CONCATENATE("Last 0% tax rate year ", O13),"")</f>
        <v/>
      </c>
      <c r="P67" s="785"/>
      <c r="Q67" s="785">
        <f t="shared" ref="Q67:Q110" si="5">IF(P67=FALSE,F67,0)</f>
        <v>0</v>
      </c>
      <c r="R67" s="171"/>
    </row>
    <row r="68" spans="1:18" ht="15" x14ac:dyDescent="0.2">
      <c r="A68" s="325">
        <v>48</v>
      </c>
      <c r="B68" s="336" t="str">
        <f>IF(C68=1,"",LOOKUP(C68,Cities!A$3:A$343,Cities!C$3:C$343))</f>
        <v/>
      </c>
      <c r="C68" s="338">
        <f t="shared" si="2"/>
        <v>1</v>
      </c>
      <c r="D68" s="337">
        <f t="shared" si="2"/>
        <v>0</v>
      </c>
      <c r="E68" s="812">
        <f>ROUND('Print Return'!$L$37*'Overflow (2)'!M14,0)</f>
        <v>0</v>
      </c>
      <c r="F68" s="955"/>
      <c r="G68" s="1524"/>
      <c r="H68" s="1524"/>
      <c r="I68" s="1525">
        <f>IF(Data!D$33=TRUE,'Overflows Worksheet'!K56,'Overflows Worksheet'!T56)</f>
        <v>0</v>
      </c>
      <c r="J68" s="1525"/>
      <c r="K68" s="853">
        <f>LOOKUP(C14,Cities!A$3:A$343,Cities!D$3:D$343)</f>
        <v>0</v>
      </c>
      <c r="L68" s="1522">
        <f t="shared" si="3"/>
        <v>0</v>
      </c>
      <c r="M68" s="1523"/>
      <c r="N68" s="339">
        <f>LOOKUP($C14,Cities!$A$3:$A$356,Cities!$V$3:$V$356)</f>
        <v>0</v>
      </c>
      <c r="O68" s="936" t="str">
        <f t="shared" si="4"/>
        <v/>
      </c>
      <c r="P68" s="785"/>
      <c r="Q68" s="785">
        <f t="shared" si="5"/>
        <v>0</v>
      </c>
      <c r="R68" s="171"/>
    </row>
    <row r="69" spans="1:18" ht="15" x14ac:dyDescent="0.2">
      <c r="A69" s="325">
        <v>49</v>
      </c>
      <c r="B69" s="336" t="str">
        <f>IF(C69=1,"",LOOKUP(C69,Cities!A$3:A$343,Cities!C$3:C$343))</f>
        <v/>
      </c>
      <c r="C69" s="338">
        <f t="shared" si="2"/>
        <v>1</v>
      </c>
      <c r="D69" s="337">
        <f t="shared" si="2"/>
        <v>0</v>
      </c>
      <c r="E69" s="812">
        <f>ROUND('Print Return'!$L$37*'Overflow (2)'!M15,0)</f>
        <v>0</v>
      </c>
      <c r="F69" s="955"/>
      <c r="G69" s="1524"/>
      <c r="H69" s="1524"/>
      <c r="I69" s="1525">
        <f>IF(Data!D$33=TRUE,'Overflows Worksheet'!K57,'Overflows Worksheet'!T57)</f>
        <v>0</v>
      </c>
      <c r="J69" s="1525"/>
      <c r="K69" s="853">
        <f>LOOKUP(C15,Cities!A$3:A$343,Cities!D$3:D$343)</f>
        <v>0</v>
      </c>
      <c r="L69" s="1522">
        <f t="shared" si="3"/>
        <v>0</v>
      </c>
      <c r="M69" s="1523"/>
      <c r="N69" s="339">
        <f>LOOKUP($C15,Cities!$A$3:$A$356,Cities!$V$3:$V$356)</f>
        <v>0</v>
      </c>
      <c r="O69" s="936" t="str">
        <f t="shared" si="4"/>
        <v/>
      </c>
      <c r="P69" s="785"/>
      <c r="Q69" s="785">
        <f t="shared" si="5"/>
        <v>0</v>
      </c>
      <c r="R69" s="171"/>
    </row>
    <row r="70" spans="1:18" ht="15" x14ac:dyDescent="0.2">
      <c r="A70" s="325">
        <v>50</v>
      </c>
      <c r="B70" s="336" t="str">
        <f>IF(C70=1,"",LOOKUP(C70,Cities!A$3:A$343,Cities!C$3:C$343))</f>
        <v/>
      </c>
      <c r="C70" s="338">
        <f t="shared" si="2"/>
        <v>1</v>
      </c>
      <c r="D70" s="337">
        <f t="shared" si="2"/>
        <v>0</v>
      </c>
      <c r="E70" s="812">
        <f>ROUND('Print Return'!$L$37*'Overflow (2)'!M16,0)</f>
        <v>0</v>
      </c>
      <c r="F70" s="955"/>
      <c r="G70" s="1524"/>
      <c r="H70" s="1524"/>
      <c r="I70" s="1525">
        <f>IF(Data!D$33=TRUE,'Overflows Worksheet'!K58,'Overflows Worksheet'!T58)</f>
        <v>0</v>
      </c>
      <c r="J70" s="1525"/>
      <c r="K70" s="853">
        <f>LOOKUP(C16,Cities!A$3:A$343,Cities!D$3:D$343)</f>
        <v>0</v>
      </c>
      <c r="L70" s="1522">
        <f t="shared" si="3"/>
        <v>0</v>
      </c>
      <c r="M70" s="1523"/>
      <c r="N70" s="339">
        <f>LOOKUP($C16,Cities!$A$3:$A$356,Cities!$V$3:$V$356)</f>
        <v>0</v>
      </c>
      <c r="O70" s="936" t="str">
        <f t="shared" si="4"/>
        <v/>
      </c>
      <c r="P70" s="785"/>
      <c r="Q70" s="785">
        <f t="shared" si="5"/>
        <v>0</v>
      </c>
      <c r="R70" s="171"/>
    </row>
    <row r="71" spans="1:18" ht="15" x14ac:dyDescent="0.2">
      <c r="A71" s="325">
        <v>51</v>
      </c>
      <c r="B71" s="336" t="str">
        <f>IF(C71=1,"",LOOKUP(C71,Cities!A$3:A$343,Cities!C$3:C$343))</f>
        <v/>
      </c>
      <c r="C71" s="338">
        <f t="shared" si="2"/>
        <v>1</v>
      </c>
      <c r="D71" s="337">
        <f t="shared" si="2"/>
        <v>0</v>
      </c>
      <c r="E71" s="812">
        <f>ROUND('Print Return'!$L$37*'Overflow (2)'!M17,0)</f>
        <v>0</v>
      </c>
      <c r="F71" s="955"/>
      <c r="G71" s="1524"/>
      <c r="H71" s="1524"/>
      <c r="I71" s="1525">
        <f>IF(Data!D$33=TRUE,'Overflows Worksheet'!K59,'Overflows Worksheet'!T59)</f>
        <v>0</v>
      </c>
      <c r="J71" s="1525"/>
      <c r="K71" s="853">
        <f>LOOKUP(C17,Cities!A$3:A$343,Cities!D$3:D$343)</f>
        <v>0</v>
      </c>
      <c r="L71" s="1522">
        <f t="shared" si="3"/>
        <v>0</v>
      </c>
      <c r="M71" s="1523"/>
      <c r="N71" s="339">
        <f>LOOKUP($C17,Cities!$A$3:$A$356,Cities!$V$3:$V$356)</f>
        <v>0</v>
      </c>
      <c r="O71" s="936" t="str">
        <f t="shared" si="4"/>
        <v/>
      </c>
      <c r="P71" s="785"/>
      <c r="Q71" s="785">
        <f t="shared" si="5"/>
        <v>0</v>
      </c>
      <c r="R71" s="171"/>
    </row>
    <row r="72" spans="1:18" ht="15" x14ac:dyDescent="0.2">
      <c r="A72" s="325">
        <v>52</v>
      </c>
      <c r="B72" s="336" t="str">
        <f>IF(C72=1,"",LOOKUP(C72,Cities!A$3:A$343,Cities!C$3:C$343))</f>
        <v/>
      </c>
      <c r="C72" s="338">
        <f t="shared" si="2"/>
        <v>1</v>
      </c>
      <c r="D72" s="337">
        <f t="shared" si="2"/>
        <v>0</v>
      </c>
      <c r="E72" s="812">
        <f>ROUND('Print Return'!$L$37*'Overflow (2)'!M18,0)</f>
        <v>0</v>
      </c>
      <c r="F72" s="955"/>
      <c r="G72" s="1524"/>
      <c r="H72" s="1524"/>
      <c r="I72" s="1525">
        <f>IF(Data!D$33=TRUE,'Overflows Worksheet'!K60,'Overflows Worksheet'!T60)</f>
        <v>0</v>
      </c>
      <c r="J72" s="1525"/>
      <c r="K72" s="853">
        <f>LOOKUP(C18,Cities!A$3:A$343,Cities!D$3:D$343)</f>
        <v>0</v>
      </c>
      <c r="L72" s="1522">
        <f t="shared" si="3"/>
        <v>0</v>
      </c>
      <c r="M72" s="1523"/>
      <c r="N72" s="339">
        <f>LOOKUP($C18,Cities!$A$3:$A$356,Cities!$V$3:$V$356)</f>
        <v>0</v>
      </c>
      <c r="O72" s="936" t="str">
        <f t="shared" si="4"/>
        <v/>
      </c>
      <c r="P72" s="785"/>
      <c r="Q72" s="785">
        <f t="shared" si="5"/>
        <v>0</v>
      </c>
      <c r="R72" s="171"/>
    </row>
    <row r="73" spans="1:18" ht="15" x14ac:dyDescent="0.2">
      <c r="A73" s="325">
        <v>53</v>
      </c>
      <c r="B73" s="336" t="str">
        <f>IF(C73=1,"",LOOKUP(C73,Cities!A$3:A$343,Cities!C$3:C$343))</f>
        <v/>
      </c>
      <c r="C73" s="338">
        <f t="shared" si="2"/>
        <v>1</v>
      </c>
      <c r="D73" s="337">
        <f t="shared" si="2"/>
        <v>0</v>
      </c>
      <c r="E73" s="812">
        <f>ROUND('Print Return'!$L$37*'Overflow (2)'!M19,0)</f>
        <v>0</v>
      </c>
      <c r="F73" s="955"/>
      <c r="G73" s="1524"/>
      <c r="H73" s="1524"/>
      <c r="I73" s="1525">
        <f>IF(Data!D$33=TRUE,'Overflows Worksheet'!K61,'Overflows Worksheet'!T61)</f>
        <v>0</v>
      </c>
      <c r="J73" s="1525"/>
      <c r="K73" s="853">
        <f>LOOKUP(C19,Cities!A$3:A$343,Cities!D$3:D$343)</f>
        <v>0</v>
      </c>
      <c r="L73" s="1522">
        <f t="shared" si="3"/>
        <v>0</v>
      </c>
      <c r="M73" s="1523"/>
      <c r="N73" s="339">
        <f>LOOKUP($C19,Cities!$A$3:$A$356,Cities!$V$3:$V$356)</f>
        <v>0</v>
      </c>
      <c r="O73" s="936" t="str">
        <f t="shared" si="4"/>
        <v/>
      </c>
      <c r="P73" s="785"/>
      <c r="Q73" s="785">
        <f t="shared" si="5"/>
        <v>0</v>
      </c>
      <c r="R73" s="171"/>
    </row>
    <row r="74" spans="1:18" ht="15" x14ac:dyDescent="0.2">
      <c r="A74" s="325">
        <v>54</v>
      </c>
      <c r="B74" s="336" t="str">
        <f>IF(C74=1,"",LOOKUP(C74,Cities!A$3:A$343,Cities!C$3:C$343))</f>
        <v/>
      </c>
      <c r="C74" s="338">
        <f t="shared" si="2"/>
        <v>1</v>
      </c>
      <c r="D74" s="337">
        <f t="shared" si="2"/>
        <v>0</v>
      </c>
      <c r="E74" s="812">
        <f>ROUND('Print Return'!$L$37*'Overflow (2)'!M20,0)</f>
        <v>0</v>
      </c>
      <c r="F74" s="955"/>
      <c r="G74" s="1524"/>
      <c r="H74" s="1524"/>
      <c r="I74" s="1525">
        <f>IF(Data!D$33=TRUE,'Overflows Worksheet'!K62,'Overflows Worksheet'!T62)</f>
        <v>0</v>
      </c>
      <c r="J74" s="1525"/>
      <c r="K74" s="853">
        <f>LOOKUP(C20,Cities!A$3:A$343,Cities!D$3:D$343)</f>
        <v>0</v>
      </c>
      <c r="L74" s="1522">
        <f t="shared" si="3"/>
        <v>0</v>
      </c>
      <c r="M74" s="1523"/>
      <c r="N74" s="339">
        <f>LOOKUP($C20,Cities!$A$3:$A$356,Cities!$V$3:$V$356)</f>
        <v>0</v>
      </c>
      <c r="O74" s="936" t="str">
        <f t="shared" si="4"/>
        <v/>
      </c>
      <c r="P74" s="785"/>
      <c r="Q74" s="785">
        <f t="shared" si="5"/>
        <v>0</v>
      </c>
      <c r="R74" s="171"/>
    </row>
    <row r="75" spans="1:18" ht="15" x14ac:dyDescent="0.2">
      <c r="A75" s="325">
        <v>55</v>
      </c>
      <c r="B75" s="336" t="str">
        <f>IF(C75=1,"",LOOKUP(C75,Cities!A$3:A$343,Cities!C$3:C$343))</f>
        <v/>
      </c>
      <c r="C75" s="338">
        <f t="shared" si="2"/>
        <v>1</v>
      </c>
      <c r="D75" s="337">
        <f t="shared" si="2"/>
        <v>0</v>
      </c>
      <c r="E75" s="812">
        <f>ROUND('Print Return'!$L$37*'Overflow (2)'!M21,0)</f>
        <v>0</v>
      </c>
      <c r="F75" s="955"/>
      <c r="G75" s="1524"/>
      <c r="H75" s="1524"/>
      <c r="I75" s="1525">
        <f>IF(Data!D$33=TRUE,'Overflows Worksheet'!K63,'Overflows Worksheet'!T63)</f>
        <v>0</v>
      </c>
      <c r="J75" s="1525"/>
      <c r="K75" s="853">
        <f>LOOKUP(C21,Cities!A$3:A$343,Cities!D$3:D$343)</f>
        <v>0</v>
      </c>
      <c r="L75" s="1522">
        <f t="shared" si="3"/>
        <v>0</v>
      </c>
      <c r="M75" s="1523"/>
      <c r="N75" s="339">
        <f>LOOKUP($C21,Cities!$A$3:$A$356,Cities!$V$3:$V$356)</f>
        <v>0</v>
      </c>
      <c r="O75" s="936" t="str">
        <f t="shared" si="4"/>
        <v/>
      </c>
      <c r="P75" s="785"/>
      <c r="Q75" s="785">
        <f t="shared" si="5"/>
        <v>0</v>
      </c>
      <c r="R75" s="171"/>
    </row>
    <row r="76" spans="1:18" ht="15" x14ac:dyDescent="0.2">
      <c r="A76" s="325">
        <v>56</v>
      </c>
      <c r="B76" s="336" t="str">
        <f>IF(C76=1,"",LOOKUP(C76,Cities!A$3:A$343,Cities!C$3:C$343))</f>
        <v/>
      </c>
      <c r="C76" s="338">
        <f t="shared" si="2"/>
        <v>1</v>
      </c>
      <c r="D76" s="337">
        <f t="shared" si="2"/>
        <v>0</v>
      </c>
      <c r="E76" s="812">
        <f>ROUND('Print Return'!$L$37*'Overflow (2)'!M22,0)</f>
        <v>0</v>
      </c>
      <c r="F76" s="955"/>
      <c r="G76" s="1524"/>
      <c r="H76" s="1524"/>
      <c r="I76" s="1525">
        <f>IF(Data!D$33=TRUE,'Overflows Worksheet'!K64,'Overflows Worksheet'!T64)</f>
        <v>0</v>
      </c>
      <c r="J76" s="1525"/>
      <c r="K76" s="853">
        <f>LOOKUP(C22,Cities!A$3:A$343,Cities!D$3:D$343)</f>
        <v>0</v>
      </c>
      <c r="L76" s="1522">
        <f t="shared" si="3"/>
        <v>0</v>
      </c>
      <c r="M76" s="1523"/>
      <c r="N76" s="339">
        <f>LOOKUP($C22,Cities!$A$3:$A$356,Cities!$V$3:$V$356)</f>
        <v>0</v>
      </c>
      <c r="O76" s="936" t="str">
        <f t="shared" si="4"/>
        <v/>
      </c>
      <c r="P76" s="785"/>
      <c r="Q76" s="785">
        <f t="shared" si="5"/>
        <v>0</v>
      </c>
      <c r="R76" s="171"/>
    </row>
    <row r="77" spans="1:18" ht="15" x14ac:dyDescent="0.2">
      <c r="A77" s="325">
        <v>57</v>
      </c>
      <c r="B77" s="336" t="str">
        <f>IF(C77=1,"",LOOKUP(C77,Cities!A$3:A$343,Cities!C$3:C$343))</f>
        <v/>
      </c>
      <c r="C77" s="338">
        <f t="shared" si="2"/>
        <v>1</v>
      </c>
      <c r="D77" s="337">
        <f t="shared" si="2"/>
        <v>0</v>
      </c>
      <c r="E77" s="812">
        <f>ROUND('Print Return'!$L$37*'Overflow (2)'!M23,0)</f>
        <v>0</v>
      </c>
      <c r="F77" s="955"/>
      <c r="G77" s="1524"/>
      <c r="H77" s="1524"/>
      <c r="I77" s="1525">
        <f>IF(Data!D$33=TRUE,'Overflows Worksheet'!K65,'Overflows Worksheet'!T65)</f>
        <v>0</v>
      </c>
      <c r="J77" s="1525"/>
      <c r="K77" s="853">
        <f>LOOKUP(C23,Cities!A$3:A$343,Cities!D$3:D$343)</f>
        <v>0</v>
      </c>
      <c r="L77" s="1522">
        <f t="shared" si="3"/>
        <v>0</v>
      </c>
      <c r="M77" s="1523"/>
      <c r="N77" s="339">
        <f>LOOKUP($C23,Cities!$A$3:$A$356,Cities!$V$3:$V$356)</f>
        <v>0</v>
      </c>
      <c r="O77" s="936" t="str">
        <f t="shared" si="4"/>
        <v/>
      </c>
      <c r="P77" s="785"/>
      <c r="Q77" s="785">
        <f t="shared" si="5"/>
        <v>0</v>
      </c>
      <c r="R77" s="171"/>
    </row>
    <row r="78" spans="1:18" ht="15" x14ac:dyDescent="0.2">
      <c r="A78" s="325">
        <v>58</v>
      </c>
      <c r="B78" s="336" t="str">
        <f>IF(C78=1,"",LOOKUP(C78,Cities!A$3:A$343,Cities!C$3:C$343))</f>
        <v/>
      </c>
      <c r="C78" s="338">
        <f t="shared" si="2"/>
        <v>1</v>
      </c>
      <c r="D78" s="337">
        <f t="shared" si="2"/>
        <v>0</v>
      </c>
      <c r="E78" s="812">
        <f>ROUND('Print Return'!$L$37*'Overflow (2)'!M24,0)</f>
        <v>0</v>
      </c>
      <c r="F78" s="955"/>
      <c r="G78" s="1524"/>
      <c r="H78" s="1524"/>
      <c r="I78" s="1525">
        <f>IF(Data!D$33=TRUE,'Overflows Worksheet'!K66,'Overflows Worksheet'!T66)</f>
        <v>0</v>
      </c>
      <c r="J78" s="1525"/>
      <c r="K78" s="853">
        <f>LOOKUP(C24,Cities!A$3:A$343,Cities!D$3:D$343)</f>
        <v>0</v>
      </c>
      <c r="L78" s="1522">
        <f t="shared" si="3"/>
        <v>0</v>
      </c>
      <c r="M78" s="1523"/>
      <c r="N78" s="339">
        <f>LOOKUP($C24,Cities!$A$3:$A$356,Cities!$V$3:$V$356)</f>
        <v>0</v>
      </c>
      <c r="O78" s="936" t="str">
        <f t="shared" si="4"/>
        <v/>
      </c>
      <c r="P78" s="785"/>
      <c r="Q78" s="785">
        <f t="shared" si="5"/>
        <v>0</v>
      </c>
      <c r="R78" s="171"/>
    </row>
    <row r="79" spans="1:18" ht="15" x14ac:dyDescent="0.2">
      <c r="A79" s="325">
        <v>59</v>
      </c>
      <c r="B79" s="336" t="str">
        <f>IF(C79=1,"",LOOKUP(C79,Cities!A$3:A$343,Cities!C$3:C$343))</f>
        <v/>
      </c>
      <c r="C79" s="338">
        <f t="shared" si="2"/>
        <v>1</v>
      </c>
      <c r="D79" s="337">
        <f t="shared" si="2"/>
        <v>0</v>
      </c>
      <c r="E79" s="812">
        <f>ROUND('Print Return'!$L$37*'Overflow (2)'!M25,0)</f>
        <v>0</v>
      </c>
      <c r="F79" s="955"/>
      <c r="G79" s="1524"/>
      <c r="H79" s="1524"/>
      <c r="I79" s="1525">
        <f>IF(Data!D$33=TRUE,'Overflows Worksheet'!K67,'Overflows Worksheet'!T67)</f>
        <v>0</v>
      </c>
      <c r="J79" s="1525"/>
      <c r="K79" s="853">
        <f>LOOKUP(C25,Cities!A$3:A$343,Cities!D$3:D$343)</f>
        <v>0</v>
      </c>
      <c r="L79" s="1522">
        <f t="shared" si="3"/>
        <v>0</v>
      </c>
      <c r="M79" s="1523"/>
      <c r="N79" s="339">
        <f>LOOKUP($C25,Cities!$A$3:$A$356,Cities!$V$3:$V$356)</f>
        <v>0</v>
      </c>
      <c r="O79" s="936" t="str">
        <f t="shared" si="4"/>
        <v/>
      </c>
      <c r="P79" s="785"/>
      <c r="Q79" s="785">
        <f t="shared" si="5"/>
        <v>0</v>
      </c>
      <c r="R79" s="171"/>
    </row>
    <row r="80" spans="1:18" ht="15" x14ac:dyDescent="0.2">
      <c r="A80" s="325">
        <v>60</v>
      </c>
      <c r="B80" s="336" t="str">
        <f>IF(C80=1,"",LOOKUP(C80,Cities!A$3:A$343,Cities!C$3:C$343))</f>
        <v/>
      </c>
      <c r="C80" s="338">
        <f t="shared" si="2"/>
        <v>1</v>
      </c>
      <c r="D80" s="337">
        <f t="shared" si="2"/>
        <v>0</v>
      </c>
      <c r="E80" s="812">
        <f>ROUND('Print Return'!$L$37*'Overflow (2)'!M26,0)</f>
        <v>0</v>
      </c>
      <c r="F80" s="955"/>
      <c r="G80" s="1524"/>
      <c r="H80" s="1524"/>
      <c r="I80" s="1525">
        <f>IF(Data!D$33=TRUE,'Overflows Worksheet'!K68,'Overflows Worksheet'!T68)</f>
        <v>0</v>
      </c>
      <c r="J80" s="1525"/>
      <c r="K80" s="853">
        <f>LOOKUP(C26,Cities!A$3:A$343,Cities!D$3:D$343)</f>
        <v>0</v>
      </c>
      <c r="L80" s="1522">
        <f t="shared" si="3"/>
        <v>0</v>
      </c>
      <c r="M80" s="1523"/>
      <c r="N80" s="339">
        <f>LOOKUP($C26,Cities!$A$3:$A$356,Cities!$V$3:$V$356)</f>
        <v>0</v>
      </c>
      <c r="O80" s="936" t="str">
        <f t="shared" si="4"/>
        <v/>
      </c>
      <c r="P80" s="785"/>
      <c r="Q80" s="785">
        <f t="shared" si="5"/>
        <v>0</v>
      </c>
      <c r="R80" s="171"/>
    </row>
    <row r="81" spans="1:18" ht="15" x14ac:dyDescent="0.2">
      <c r="A81" s="325">
        <v>61</v>
      </c>
      <c r="B81" s="336" t="str">
        <f>IF(C81=1,"",LOOKUP(C81,Cities!A$3:A$343,Cities!C$3:C$343))</f>
        <v/>
      </c>
      <c r="C81" s="338">
        <f t="shared" si="2"/>
        <v>1</v>
      </c>
      <c r="D81" s="337">
        <f t="shared" si="2"/>
        <v>0</v>
      </c>
      <c r="E81" s="812">
        <f>ROUND('Print Return'!$L$37*'Overflow (2)'!M27,0)</f>
        <v>0</v>
      </c>
      <c r="F81" s="955"/>
      <c r="G81" s="1524"/>
      <c r="H81" s="1524"/>
      <c r="I81" s="1525">
        <f>IF(Data!D$33=TRUE,'Overflows Worksheet'!K69,'Overflows Worksheet'!T69)</f>
        <v>0</v>
      </c>
      <c r="J81" s="1525"/>
      <c r="K81" s="853">
        <f>LOOKUP(C27,Cities!A$3:A$343,Cities!D$3:D$343)</f>
        <v>0</v>
      </c>
      <c r="L81" s="1522">
        <f t="shared" si="3"/>
        <v>0</v>
      </c>
      <c r="M81" s="1523"/>
      <c r="N81" s="339">
        <f>LOOKUP($C27,Cities!$A$3:$A$356,Cities!$V$3:$V$356)</f>
        <v>0</v>
      </c>
      <c r="O81" s="936" t="str">
        <f t="shared" si="4"/>
        <v/>
      </c>
      <c r="P81" s="785"/>
      <c r="Q81" s="785">
        <f t="shared" si="5"/>
        <v>0</v>
      </c>
      <c r="R81" s="171"/>
    </row>
    <row r="82" spans="1:18" ht="15" x14ac:dyDescent="0.2">
      <c r="A82" s="325">
        <v>62</v>
      </c>
      <c r="B82" s="336" t="str">
        <f>IF(C82=1,"",LOOKUP(C82,Cities!A$3:A$343,Cities!C$3:C$343))</f>
        <v/>
      </c>
      <c r="C82" s="338">
        <f t="shared" si="2"/>
        <v>1</v>
      </c>
      <c r="D82" s="337">
        <f t="shared" si="2"/>
        <v>0</v>
      </c>
      <c r="E82" s="812">
        <f>ROUND('Print Return'!$L$37*'Overflow (2)'!M28,0)</f>
        <v>0</v>
      </c>
      <c r="F82" s="955"/>
      <c r="G82" s="1524"/>
      <c r="H82" s="1524"/>
      <c r="I82" s="1525">
        <f>IF(Data!D$33=TRUE,'Overflows Worksheet'!K70,'Overflows Worksheet'!T70)</f>
        <v>0</v>
      </c>
      <c r="J82" s="1525"/>
      <c r="K82" s="853">
        <f>LOOKUP(C28,Cities!A$3:A$343,Cities!D$3:D$343)</f>
        <v>0</v>
      </c>
      <c r="L82" s="1522">
        <f t="shared" si="3"/>
        <v>0</v>
      </c>
      <c r="M82" s="1523"/>
      <c r="N82" s="339">
        <f>LOOKUP($C28,Cities!$A$3:$A$356,Cities!$V$3:$V$356)</f>
        <v>0</v>
      </c>
      <c r="O82" s="936" t="str">
        <f t="shared" si="4"/>
        <v/>
      </c>
      <c r="P82" s="785"/>
      <c r="Q82" s="785">
        <f t="shared" si="5"/>
        <v>0</v>
      </c>
      <c r="R82" s="171"/>
    </row>
    <row r="83" spans="1:18" ht="15" x14ac:dyDescent="0.2">
      <c r="A83" s="325">
        <v>63</v>
      </c>
      <c r="B83" s="336" t="str">
        <f>IF(C83=1,"",LOOKUP(C83,Cities!A$3:A$343,Cities!C$3:C$343))</f>
        <v/>
      </c>
      <c r="C83" s="338">
        <f t="shared" si="2"/>
        <v>1</v>
      </c>
      <c r="D83" s="337">
        <f t="shared" si="2"/>
        <v>0</v>
      </c>
      <c r="E83" s="812">
        <f>ROUND('Print Return'!$L$37*'Overflow (2)'!M29,0)</f>
        <v>0</v>
      </c>
      <c r="F83" s="955"/>
      <c r="G83" s="1524"/>
      <c r="H83" s="1524"/>
      <c r="I83" s="1525">
        <f>IF(Data!D$33=TRUE,'Overflows Worksheet'!K71,'Overflows Worksheet'!T71)</f>
        <v>0</v>
      </c>
      <c r="J83" s="1525"/>
      <c r="K83" s="853">
        <f>LOOKUP(C29,Cities!A$3:A$343,Cities!D$3:D$343)</f>
        <v>0</v>
      </c>
      <c r="L83" s="1522">
        <f t="shared" si="3"/>
        <v>0</v>
      </c>
      <c r="M83" s="1523"/>
      <c r="N83" s="339">
        <f>LOOKUP($C29,Cities!$A$3:$A$356,Cities!$V$3:$V$356)</f>
        <v>0</v>
      </c>
      <c r="O83" s="936" t="str">
        <f t="shared" si="4"/>
        <v/>
      </c>
      <c r="P83" s="785"/>
      <c r="Q83" s="785">
        <f t="shared" si="5"/>
        <v>0</v>
      </c>
      <c r="R83" s="171"/>
    </row>
    <row r="84" spans="1:18" ht="15" x14ac:dyDescent="0.2">
      <c r="A84" s="325">
        <v>64</v>
      </c>
      <c r="B84" s="336" t="str">
        <f>IF(C84=1,"",LOOKUP(C84,Cities!A$3:A$343,Cities!C$3:C$343))</f>
        <v/>
      </c>
      <c r="C84" s="338">
        <f t="shared" si="2"/>
        <v>1</v>
      </c>
      <c r="D84" s="337">
        <f t="shared" si="2"/>
        <v>0</v>
      </c>
      <c r="E84" s="812">
        <f>ROUND('Print Return'!$L$37*'Overflow (2)'!M30,0)</f>
        <v>0</v>
      </c>
      <c r="F84" s="955"/>
      <c r="G84" s="1524"/>
      <c r="H84" s="1524"/>
      <c r="I84" s="1525">
        <f>IF(Data!D$33=TRUE,'Overflows Worksheet'!K72,'Overflows Worksheet'!T72)</f>
        <v>0</v>
      </c>
      <c r="J84" s="1525"/>
      <c r="K84" s="853">
        <f>LOOKUP(C30,Cities!A$3:A$343,Cities!D$3:D$343)</f>
        <v>0</v>
      </c>
      <c r="L84" s="1522">
        <f t="shared" si="3"/>
        <v>0</v>
      </c>
      <c r="M84" s="1523"/>
      <c r="N84" s="339">
        <f>LOOKUP($C30,Cities!$A$3:$A$356,Cities!$V$3:$V$356)</f>
        <v>0</v>
      </c>
      <c r="O84" s="936" t="str">
        <f t="shared" si="4"/>
        <v/>
      </c>
      <c r="P84" s="785"/>
      <c r="Q84" s="785">
        <f t="shared" si="5"/>
        <v>0</v>
      </c>
      <c r="R84" s="171"/>
    </row>
    <row r="85" spans="1:18" ht="15" x14ac:dyDescent="0.2">
      <c r="A85" s="325">
        <v>65</v>
      </c>
      <c r="B85" s="336" t="str">
        <f>IF(C85=1,"",LOOKUP(C85,Cities!A$3:A$343,Cities!C$3:C$343))</f>
        <v/>
      </c>
      <c r="C85" s="338">
        <f t="shared" si="2"/>
        <v>1</v>
      </c>
      <c r="D85" s="337">
        <f t="shared" si="2"/>
        <v>0</v>
      </c>
      <c r="E85" s="812">
        <f>ROUND('Print Return'!$L$37*'Overflow (2)'!M31,0)</f>
        <v>0</v>
      </c>
      <c r="F85" s="955"/>
      <c r="G85" s="1524"/>
      <c r="H85" s="1524"/>
      <c r="I85" s="1525">
        <f>IF(Data!D$33=TRUE,'Overflows Worksheet'!K73,'Overflows Worksheet'!T73)</f>
        <v>0</v>
      </c>
      <c r="J85" s="1525"/>
      <c r="K85" s="853">
        <f>LOOKUP(C31,Cities!A$3:A$343,Cities!D$3:D$343)</f>
        <v>0</v>
      </c>
      <c r="L85" s="1522">
        <f t="shared" si="3"/>
        <v>0</v>
      </c>
      <c r="M85" s="1523"/>
      <c r="N85" s="339">
        <f>LOOKUP($C31,Cities!$A$3:$A$356,Cities!$V$3:$V$356)</f>
        <v>0</v>
      </c>
      <c r="O85" s="936" t="str">
        <f t="shared" si="4"/>
        <v/>
      </c>
      <c r="P85" s="785"/>
      <c r="Q85" s="785">
        <f t="shared" si="5"/>
        <v>0</v>
      </c>
      <c r="R85" s="171"/>
    </row>
    <row r="86" spans="1:18" ht="15" x14ac:dyDescent="0.2">
      <c r="A86" s="325">
        <v>66</v>
      </c>
      <c r="B86" s="336" t="str">
        <f>IF(C86=1,"",LOOKUP(C86,Cities!A$3:A$343,Cities!C$3:C$343))</f>
        <v/>
      </c>
      <c r="C86" s="338">
        <f t="shared" ref="C86:D105" si="6">+C32</f>
        <v>1</v>
      </c>
      <c r="D86" s="337">
        <f t="shared" si="6"/>
        <v>0</v>
      </c>
      <c r="E86" s="812">
        <f>ROUND('Print Return'!$L$37*'Overflow (2)'!M32,0)</f>
        <v>0</v>
      </c>
      <c r="F86" s="955"/>
      <c r="G86" s="1524"/>
      <c r="H86" s="1524"/>
      <c r="I86" s="1525">
        <f>IF(Data!D$33=TRUE,'Overflows Worksheet'!K74,'Overflows Worksheet'!T74)</f>
        <v>0</v>
      </c>
      <c r="J86" s="1525"/>
      <c r="K86" s="853">
        <f>LOOKUP(C32,Cities!A$3:A$343,Cities!D$3:D$343)</f>
        <v>0</v>
      </c>
      <c r="L86" s="1522">
        <f t="shared" si="3"/>
        <v>0</v>
      </c>
      <c r="M86" s="1523"/>
      <c r="N86" s="339">
        <f>LOOKUP($C32,Cities!$A$3:$A$356,Cities!$V$3:$V$356)</f>
        <v>0</v>
      </c>
      <c r="O86" s="936" t="str">
        <f t="shared" si="4"/>
        <v/>
      </c>
      <c r="P86" s="785"/>
      <c r="Q86" s="785">
        <f t="shared" si="5"/>
        <v>0</v>
      </c>
      <c r="R86" s="171"/>
    </row>
    <row r="87" spans="1:18" ht="15" x14ac:dyDescent="0.2">
      <c r="A87" s="325">
        <v>67</v>
      </c>
      <c r="B87" s="336" t="str">
        <f>IF(C87=1,"",LOOKUP(C87,Cities!A$3:A$343,Cities!C$3:C$343))</f>
        <v/>
      </c>
      <c r="C87" s="338">
        <f t="shared" si="6"/>
        <v>1</v>
      </c>
      <c r="D87" s="337">
        <f t="shared" si="6"/>
        <v>0</v>
      </c>
      <c r="E87" s="812">
        <f>ROUND('Print Return'!$L$37*'Overflow (2)'!M33,0)</f>
        <v>0</v>
      </c>
      <c r="F87" s="955"/>
      <c r="G87" s="1524"/>
      <c r="H87" s="1524"/>
      <c r="I87" s="1525">
        <f>IF(Data!D$33=TRUE,'Overflows Worksheet'!K75,'Overflows Worksheet'!T75)</f>
        <v>0</v>
      </c>
      <c r="J87" s="1525"/>
      <c r="K87" s="853">
        <f>LOOKUP(C33,Cities!A$3:A$343,Cities!D$3:D$343)</f>
        <v>0</v>
      </c>
      <c r="L87" s="1522">
        <f t="shared" si="3"/>
        <v>0</v>
      </c>
      <c r="M87" s="1523"/>
      <c r="N87" s="339">
        <f>LOOKUP($C33,Cities!$A$3:$A$356,Cities!$V$3:$V$356)</f>
        <v>0</v>
      </c>
      <c r="O87" s="936" t="str">
        <f t="shared" si="4"/>
        <v/>
      </c>
      <c r="P87" s="785"/>
      <c r="Q87" s="785">
        <f t="shared" si="5"/>
        <v>0</v>
      </c>
      <c r="R87" s="171"/>
    </row>
    <row r="88" spans="1:18" ht="15" x14ac:dyDescent="0.2">
      <c r="A88" s="325">
        <v>68</v>
      </c>
      <c r="B88" s="336" t="str">
        <f>IF(C88=1,"",LOOKUP(C88,Cities!A$3:A$343,Cities!C$3:C$343))</f>
        <v/>
      </c>
      <c r="C88" s="338">
        <f t="shared" si="6"/>
        <v>1</v>
      </c>
      <c r="D88" s="337">
        <f t="shared" si="6"/>
        <v>0</v>
      </c>
      <c r="E88" s="812">
        <f>ROUND('Print Return'!$L$37*'Overflow (2)'!M34,0)</f>
        <v>0</v>
      </c>
      <c r="F88" s="955"/>
      <c r="G88" s="1524"/>
      <c r="H88" s="1524"/>
      <c r="I88" s="1525">
        <f>IF(Data!D$33=TRUE,'Overflows Worksheet'!K76,'Overflows Worksheet'!T76)</f>
        <v>0</v>
      </c>
      <c r="J88" s="1525"/>
      <c r="K88" s="853">
        <f>LOOKUP(C34,Cities!A$3:A$343,Cities!D$3:D$343)</f>
        <v>0</v>
      </c>
      <c r="L88" s="1522">
        <f t="shared" si="3"/>
        <v>0</v>
      </c>
      <c r="M88" s="1523"/>
      <c r="N88" s="339">
        <f>LOOKUP($C34,Cities!$A$3:$A$356,Cities!$V$3:$V$356)</f>
        <v>0</v>
      </c>
      <c r="O88" s="936" t="str">
        <f t="shared" si="4"/>
        <v/>
      </c>
      <c r="P88" s="785"/>
      <c r="Q88" s="785">
        <f t="shared" si="5"/>
        <v>0</v>
      </c>
      <c r="R88" s="171"/>
    </row>
    <row r="89" spans="1:18" ht="15" x14ac:dyDescent="0.2">
      <c r="A89" s="325">
        <v>69</v>
      </c>
      <c r="B89" s="336" t="str">
        <f>IF(C89=1,"",LOOKUP(C89,Cities!A$3:A$343,Cities!C$3:C$343))</f>
        <v/>
      </c>
      <c r="C89" s="338">
        <f t="shared" si="6"/>
        <v>1</v>
      </c>
      <c r="D89" s="337">
        <f t="shared" si="6"/>
        <v>0</v>
      </c>
      <c r="E89" s="812">
        <f>ROUND('Print Return'!$L$37*'Overflow (2)'!M35,0)</f>
        <v>0</v>
      </c>
      <c r="F89" s="955"/>
      <c r="G89" s="1524"/>
      <c r="H89" s="1524"/>
      <c r="I89" s="1525">
        <f>IF(Data!D$33=TRUE,'Overflows Worksheet'!K77,'Overflows Worksheet'!T77)</f>
        <v>0</v>
      </c>
      <c r="J89" s="1525"/>
      <c r="K89" s="853">
        <f>LOOKUP(C35,Cities!A$3:A$343,Cities!D$3:D$343)</f>
        <v>0</v>
      </c>
      <c r="L89" s="1522">
        <f t="shared" si="3"/>
        <v>0</v>
      </c>
      <c r="M89" s="1523"/>
      <c r="N89" s="339">
        <f>LOOKUP($C35,Cities!$A$3:$A$356,Cities!$V$3:$V$356)</f>
        <v>0</v>
      </c>
      <c r="O89" s="936" t="str">
        <f t="shared" si="4"/>
        <v/>
      </c>
      <c r="P89" s="785"/>
      <c r="Q89" s="785">
        <f t="shared" si="5"/>
        <v>0</v>
      </c>
      <c r="R89" s="171"/>
    </row>
    <row r="90" spans="1:18" ht="15" x14ac:dyDescent="0.2">
      <c r="A90" s="325">
        <v>70</v>
      </c>
      <c r="B90" s="336" t="str">
        <f>IF(C90=1,"",LOOKUP(C90,Cities!A$3:A$343,Cities!C$3:C$343))</f>
        <v/>
      </c>
      <c r="C90" s="338">
        <f t="shared" si="6"/>
        <v>1</v>
      </c>
      <c r="D90" s="337">
        <f t="shared" si="6"/>
        <v>0</v>
      </c>
      <c r="E90" s="812">
        <f>ROUND('Print Return'!$L$37*'Overflow (2)'!M36,0)</f>
        <v>0</v>
      </c>
      <c r="F90" s="955"/>
      <c r="G90" s="1524"/>
      <c r="H90" s="1524"/>
      <c r="I90" s="1525">
        <f>IF(Data!D$33=TRUE,'Overflows Worksheet'!K78,'Overflows Worksheet'!T78)</f>
        <v>0</v>
      </c>
      <c r="J90" s="1525"/>
      <c r="K90" s="853">
        <f>LOOKUP(C36,Cities!A$3:A$343,Cities!D$3:D$343)</f>
        <v>0</v>
      </c>
      <c r="L90" s="1522">
        <f t="shared" si="3"/>
        <v>0</v>
      </c>
      <c r="M90" s="1523"/>
      <c r="N90" s="339">
        <f>LOOKUP($C36,Cities!$A$3:$A$356,Cities!$V$3:$V$356)</f>
        <v>0</v>
      </c>
      <c r="O90" s="936" t="str">
        <f t="shared" si="4"/>
        <v/>
      </c>
      <c r="P90" s="785"/>
      <c r="Q90" s="785">
        <f t="shared" si="5"/>
        <v>0</v>
      </c>
      <c r="R90" s="171"/>
    </row>
    <row r="91" spans="1:18" ht="15" x14ac:dyDescent="0.2">
      <c r="A91" s="325">
        <v>71</v>
      </c>
      <c r="B91" s="336" t="str">
        <f>IF(C91=1,"",LOOKUP(C91,Cities!A$3:A$343,Cities!C$3:C$343))</f>
        <v/>
      </c>
      <c r="C91" s="338">
        <f t="shared" si="6"/>
        <v>1</v>
      </c>
      <c r="D91" s="337">
        <f t="shared" si="6"/>
        <v>0</v>
      </c>
      <c r="E91" s="812">
        <f>ROUND('Print Return'!$L$37*'Overflow (2)'!M37,0)</f>
        <v>0</v>
      </c>
      <c r="F91" s="955"/>
      <c r="G91" s="1524"/>
      <c r="H91" s="1524"/>
      <c r="I91" s="1525">
        <f>IF(Data!D$33=TRUE,'Overflows Worksheet'!K79,'Overflows Worksheet'!T79)</f>
        <v>0</v>
      </c>
      <c r="J91" s="1525"/>
      <c r="K91" s="853">
        <f>LOOKUP(C37,Cities!A$3:A$343,Cities!D$3:D$343)</f>
        <v>0</v>
      </c>
      <c r="L91" s="1522">
        <f t="shared" si="3"/>
        <v>0</v>
      </c>
      <c r="M91" s="1523"/>
      <c r="N91" s="339">
        <f>LOOKUP($C37,Cities!$A$3:$A$356,Cities!$V$3:$V$356)</f>
        <v>0</v>
      </c>
      <c r="O91" s="936" t="str">
        <f t="shared" si="4"/>
        <v/>
      </c>
      <c r="P91" s="785"/>
      <c r="Q91" s="785">
        <f t="shared" si="5"/>
        <v>0</v>
      </c>
      <c r="R91" s="171"/>
    </row>
    <row r="92" spans="1:18" ht="15" x14ac:dyDescent="0.2">
      <c r="A92" s="325">
        <v>72</v>
      </c>
      <c r="B92" s="336" t="str">
        <f>IF(C92=1,"",LOOKUP(C92,Cities!A$3:A$343,Cities!C$3:C$343))</f>
        <v/>
      </c>
      <c r="C92" s="338">
        <f t="shared" si="6"/>
        <v>1</v>
      </c>
      <c r="D92" s="337">
        <f t="shared" si="6"/>
        <v>0</v>
      </c>
      <c r="E92" s="812">
        <f>ROUND('Print Return'!$L$37*'Overflow (2)'!M38,0)</f>
        <v>0</v>
      </c>
      <c r="F92" s="955"/>
      <c r="G92" s="1524"/>
      <c r="H92" s="1524"/>
      <c r="I92" s="1525">
        <f>IF(Data!D$33=TRUE,'Overflows Worksheet'!K80,'Overflows Worksheet'!T80)</f>
        <v>0</v>
      </c>
      <c r="J92" s="1525"/>
      <c r="K92" s="853">
        <f>LOOKUP(C38,Cities!A$3:A$343,Cities!D$3:D$343)</f>
        <v>0</v>
      </c>
      <c r="L92" s="1522">
        <f t="shared" si="3"/>
        <v>0</v>
      </c>
      <c r="M92" s="1523"/>
      <c r="N92" s="339">
        <f>LOOKUP($C38,Cities!$A$3:$A$356,Cities!$V$3:$V$356)</f>
        <v>0</v>
      </c>
      <c r="O92" s="936" t="str">
        <f t="shared" si="4"/>
        <v/>
      </c>
      <c r="P92" s="785"/>
      <c r="Q92" s="785">
        <f t="shared" si="5"/>
        <v>0</v>
      </c>
      <c r="R92" s="171"/>
    </row>
    <row r="93" spans="1:18" ht="15" x14ac:dyDescent="0.2">
      <c r="A93" s="325">
        <v>73</v>
      </c>
      <c r="B93" s="336" t="str">
        <f>IF(C93=1,"",LOOKUP(C93,Cities!A$3:A$343,Cities!C$3:C$343))</f>
        <v/>
      </c>
      <c r="C93" s="338">
        <f t="shared" si="6"/>
        <v>1</v>
      </c>
      <c r="D93" s="337">
        <f t="shared" si="6"/>
        <v>0</v>
      </c>
      <c r="E93" s="812">
        <f>ROUND('Print Return'!$L$37*'Overflow (2)'!M39,0)</f>
        <v>0</v>
      </c>
      <c r="F93" s="955"/>
      <c r="G93" s="1524"/>
      <c r="H93" s="1524"/>
      <c r="I93" s="1525">
        <f>IF(Data!D$33=TRUE,'Overflows Worksheet'!K81,'Overflows Worksheet'!T81)</f>
        <v>0</v>
      </c>
      <c r="J93" s="1525"/>
      <c r="K93" s="853">
        <f>LOOKUP(C39,Cities!A$3:A$343,Cities!D$3:D$343)</f>
        <v>0</v>
      </c>
      <c r="L93" s="1522">
        <f t="shared" si="3"/>
        <v>0</v>
      </c>
      <c r="M93" s="1523"/>
      <c r="N93" s="339">
        <f>LOOKUP($C39,Cities!$A$3:$A$356,Cities!$V$3:$V$356)</f>
        <v>0</v>
      </c>
      <c r="O93" s="936" t="str">
        <f t="shared" si="4"/>
        <v/>
      </c>
      <c r="P93" s="785"/>
      <c r="Q93" s="785">
        <f t="shared" si="5"/>
        <v>0</v>
      </c>
      <c r="R93" s="171"/>
    </row>
    <row r="94" spans="1:18" ht="15" x14ac:dyDescent="0.2">
      <c r="A94" s="325">
        <v>74</v>
      </c>
      <c r="B94" s="336" t="str">
        <f>IF(C94=1,"",LOOKUP(C94,Cities!A$3:A$343,Cities!C$3:C$343))</f>
        <v/>
      </c>
      <c r="C94" s="338">
        <f t="shared" si="6"/>
        <v>1</v>
      </c>
      <c r="D94" s="337">
        <f t="shared" si="6"/>
        <v>0</v>
      </c>
      <c r="E94" s="812">
        <f>ROUND('Print Return'!$L$37*'Overflow (2)'!M40,0)</f>
        <v>0</v>
      </c>
      <c r="F94" s="955"/>
      <c r="G94" s="1524"/>
      <c r="H94" s="1524"/>
      <c r="I94" s="1525">
        <f>IF(Data!D$33=TRUE,'Overflows Worksheet'!K82,'Overflows Worksheet'!T82)</f>
        <v>0</v>
      </c>
      <c r="J94" s="1525"/>
      <c r="K94" s="853">
        <f>LOOKUP(C40,Cities!A$3:A$343,Cities!D$3:D$343)</f>
        <v>0</v>
      </c>
      <c r="L94" s="1522">
        <f t="shared" si="3"/>
        <v>0</v>
      </c>
      <c r="M94" s="1523"/>
      <c r="N94" s="339">
        <f>LOOKUP($C40,Cities!$A$3:$A$356,Cities!$V$3:$V$356)</f>
        <v>0</v>
      </c>
      <c r="O94" s="936" t="str">
        <f t="shared" si="4"/>
        <v/>
      </c>
      <c r="P94" s="785"/>
      <c r="Q94" s="785">
        <f t="shared" si="5"/>
        <v>0</v>
      </c>
      <c r="R94" s="171"/>
    </row>
    <row r="95" spans="1:18" ht="15" x14ac:dyDescent="0.2">
      <c r="A95" s="325">
        <v>75</v>
      </c>
      <c r="B95" s="336" t="str">
        <f>IF(C95=1,"",LOOKUP(C95,Cities!A$3:A$343,Cities!C$3:C$343))</f>
        <v/>
      </c>
      <c r="C95" s="338">
        <f t="shared" si="6"/>
        <v>1</v>
      </c>
      <c r="D95" s="337">
        <f t="shared" si="6"/>
        <v>0</v>
      </c>
      <c r="E95" s="812">
        <f>ROUND('Print Return'!$L$37*'Overflow (2)'!M41,0)</f>
        <v>0</v>
      </c>
      <c r="F95" s="955"/>
      <c r="G95" s="1524"/>
      <c r="H95" s="1524"/>
      <c r="I95" s="1525">
        <f>IF(Data!D$33=TRUE,'Overflows Worksheet'!K83,'Overflows Worksheet'!T83)</f>
        <v>0</v>
      </c>
      <c r="J95" s="1525"/>
      <c r="K95" s="853">
        <f>LOOKUP(C41,Cities!A$3:A$343,Cities!D$3:D$343)</f>
        <v>0</v>
      </c>
      <c r="L95" s="1522">
        <f t="shared" si="3"/>
        <v>0</v>
      </c>
      <c r="M95" s="1523"/>
      <c r="N95" s="339">
        <f>LOOKUP($C41,Cities!$A$3:$A$356,Cities!$V$3:$V$356)</f>
        <v>0</v>
      </c>
      <c r="O95" s="936" t="str">
        <f t="shared" si="4"/>
        <v/>
      </c>
      <c r="P95" s="785"/>
      <c r="Q95" s="785">
        <f t="shared" si="5"/>
        <v>0</v>
      </c>
      <c r="R95" s="171"/>
    </row>
    <row r="96" spans="1:18" ht="15" x14ac:dyDescent="0.2">
      <c r="A96" s="325">
        <v>76</v>
      </c>
      <c r="B96" s="336" t="str">
        <f>IF(C96=1,"",LOOKUP(C96,Cities!A$3:A$343,Cities!C$3:C$343))</f>
        <v/>
      </c>
      <c r="C96" s="338">
        <f t="shared" si="6"/>
        <v>1</v>
      </c>
      <c r="D96" s="337">
        <f t="shared" si="6"/>
        <v>0</v>
      </c>
      <c r="E96" s="812">
        <f>ROUND('Print Return'!$L$37*'Overflow (2)'!M42,0)</f>
        <v>0</v>
      </c>
      <c r="F96" s="955"/>
      <c r="G96" s="1524"/>
      <c r="H96" s="1524"/>
      <c r="I96" s="1525">
        <f>IF(Data!D$33=TRUE,'Overflows Worksheet'!K84,'Overflows Worksheet'!T84)</f>
        <v>0</v>
      </c>
      <c r="J96" s="1525"/>
      <c r="K96" s="853">
        <f>LOOKUP(C42,Cities!A$3:A$343,Cities!D$3:D$343)</f>
        <v>0</v>
      </c>
      <c r="L96" s="1522">
        <f t="shared" si="3"/>
        <v>0</v>
      </c>
      <c r="M96" s="1523"/>
      <c r="N96" s="339">
        <f>LOOKUP($C42,Cities!$A$3:$A$356,Cities!$V$3:$V$356)</f>
        <v>0</v>
      </c>
      <c r="O96" s="936" t="str">
        <f t="shared" si="4"/>
        <v/>
      </c>
      <c r="P96" s="785"/>
      <c r="Q96" s="785">
        <f t="shared" si="5"/>
        <v>0</v>
      </c>
      <c r="R96" s="171"/>
    </row>
    <row r="97" spans="1:18" ht="15" x14ac:dyDescent="0.2">
      <c r="A97" s="325">
        <v>77</v>
      </c>
      <c r="B97" s="336" t="str">
        <f>IF(C97=1,"",LOOKUP(C97,Cities!A$3:A$343,Cities!C$3:C$343))</f>
        <v/>
      </c>
      <c r="C97" s="338">
        <f t="shared" si="6"/>
        <v>1</v>
      </c>
      <c r="D97" s="337">
        <f t="shared" si="6"/>
        <v>0</v>
      </c>
      <c r="E97" s="812">
        <f>ROUND('Print Return'!$L$37*'Overflow (2)'!M43,0)</f>
        <v>0</v>
      </c>
      <c r="F97" s="955"/>
      <c r="G97" s="1524"/>
      <c r="H97" s="1524"/>
      <c r="I97" s="1525">
        <f>IF(Data!D$33=TRUE,'Overflows Worksheet'!K85,'Overflows Worksheet'!T85)</f>
        <v>0</v>
      </c>
      <c r="J97" s="1525"/>
      <c r="K97" s="853">
        <f>LOOKUP(C43,Cities!A$3:A$343,Cities!D$3:D$343)</f>
        <v>0</v>
      </c>
      <c r="L97" s="1522">
        <f t="shared" si="3"/>
        <v>0</v>
      </c>
      <c r="M97" s="1523"/>
      <c r="N97" s="339">
        <f>LOOKUP($C43,Cities!$A$3:$A$356,Cities!$V$3:$V$356)</f>
        <v>0</v>
      </c>
      <c r="O97" s="936" t="str">
        <f t="shared" si="4"/>
        <v/>
      </c>
      <c r="P97" s="785"/>
      <c r="Q97" s="785">
        <f t="shared" si="5"/>
        <v>0</v>
      </c>
      <c r="R97" s="171"/>
    </row>
    <row r="98" spans="1:18" ht="15" x14ac:dyDescent="0.2">
      <c r="A98" s="325">
        <v>78</v>
      </c>
      <c r="B98" s="336" t="str">
        <f>IF(C98=1,"",LOOKUP(C98,Cities!A$3:A$343,Cities!C$3:C$343))</f>
        <v/>
      </c>
      <c r="C98" s="338">
        <f t="shared" si="6"/>
        <v>1</v>
      </c>
      <c r="D98" s="337">
        <f t="shared" si="6"/>
        <v>0</v>
      </c>
      <c r="E98" s="812">
        <f>ROUND('Print Return'!$L$37*'Overflow (2)'!M44,0)</f>
        <v>0</v>
      </c>
      <c r="F98" s="955"/>
      <c r="G98" s="1524"/>
      <c r="H98" s="1524"/>
      <c r="I98" s="1525">
        <f>IF(Data!D$33=TRUE,'Overflows Worksheet'!K86,'Overflows Worksheet'!T86)</f>
        <v>0</v>
      </c>
      <c r="J98" s="1525"/>
      <c r="K98" s="853">
        <f>LOOKUP(C44,Cities!A$3:A$343,Cities!D$3:D$343)</f>
        <v>0</v>
      </c>
      <c r="L98" s="1522">
        <f t="shared" si="3"/>
        <v>0</v>
      </c>
      <c r="M98" s="1523"/>
      <c r="N98" s="339">
        <f>LOOKUP($C44,Cities!$A$3:$A$356,Cities!$V$3:$V$356)</f>
        <v>0</v>
      </c>
      <c r="O98" s="936" t="str">
        <f t="shared" si="4"/>
        <v/>
      </c>
      <c r="P98" s="785"/>
      <c r="Q98" s="785">
        <f t="shared" si="5"/>
        <v>0</v>
      </c>
      <c r="R98" s="171"/>
    </row>
    <row r="99" spans="1:18" ht="15" x14ac:dyDescent="0.2">
      <c r="A99" s="325">
        <v>79</v>
      </c>
      <c r="B99" s="336" t="str">
        <f>IF(C99=1,"",LOOKUP(C99,Cities!A$3:A$343,Cities!C$3:C$343))</f>
        <v/>
      </c>
      <c r="C99" s="338">
        <f t="shared" si="6"/>
        <v>1</v>
      </c>
      <c r="D99" s="337">
        <f t="shared" si="6"/>
        <v>0</v>
      </c>
      <c r="E99" s="812">
        <f>ROUND('Print Return'!$L$37*'Overflow (2)'!M45,0)</f>
        <v>0</v>
      </c>
      <c r="F99" s="955"/>
      <c r="G99" s="1524"/>
      <c r="H99" s="1524"/>
      <c r="I99" s="1525">
        <f>IF(Data!D$33=TRUE,'Overflows Worksheet'!K87,'Overflows Worksheet'!T87)</f>
        <v>0</v>
      </c>
      <c r="J99" s="1525"/>
      <c r="K99" s="853">
        <f>LOOKUP(C45,Cities!A$3:A$343,Cities!D$3:D$343)</f>
        <v>0</v>
      </c>
      <c r="L99" s="1522">
        <f t="shared" si="3"/>
        <v>0</v>
      </c>
      <c r="M99" s="1523"/>
      <c r="N99" s="339">
        <f>LOOKUP($C45,Cities!$A$3:$A$356,Cities!$V$3:$V$356)</f>
        <v>0</v>
      </c>
      <c r="O99" s="936" t="str">
        <f t="shared" si="4"/>
        <v/>
      </c>
      <c r="P99" s="785"/>
      <c r="Q99" s="785">
        <f t="shared" si="5"/>
        <v>0</v>
      </c>
      <c r="R99" s="171"/>
    </row>
    <row r="100" spans="1:18" ht="15" x14ac:dyDescent="0.2">
      <c r="A100" s="325">
        <v>80</v>
      </c>
      <c r="B100" s="336" t="str">
        <f>IF(C100=1,"",LOOKUP(C100,Cities!A$3:A$343,Cities!C$3:C$343))</f>
        <v/>
      </c>
      <c r="C100" s="338">
        <f t="shared" si="6"/>
        <v>1</v>
      </c>
      <c r="D100" s="337">
        <f t="shared" si="6"/>
        <v>0</v>
      </c>
      <c r="E100" s="812">
        <f>ROUND('Print Return'!$L$37*'Overflow (2)'!M46,0)</f>
        <v>0</v>
      </c>
      <c r="F100" s="955"/>
      <c r="G100" s="1524"/>
      <c r="H100" s="1524"/>
      <c r="I100" s="1525">
        <f>IF(Data!D$33=TRUE,'Overflows Worksheet'!K88,'Overflows Worksheet'!T88)</f>
        <v>0</v>
      </c>
      <c r="J100" s="1525"/>
      <c r="K100" s="853">
        <f>LOOKUP(C46,Cities!A$3:A$343,Cities!D$3:D$343)</f>
        <v>0</v>
      </c>
      <c r="L100" s="1522">
        <f t="shared" si="3"/>
        <v>0</v>
      </c>
      <c r="M100" s="1523"/>
      <c r="N100" s="339">
        <f>LOOKUP($C46,Cities!$A$3:$A$356,Cities!$V$3:$V$356)</f>
        <v>0</v>
      </c>
      <c r="O100" s="936" t="str">
        <f t="shared" si="4"/>
        <v/>
      </c>
      <c r="P100" s="785"/>
      <c r="Q100" s="785">
        <f t="shared" si="5"/>
        <v>0</v>
      </c>
      <c r="R100" s="171"/>
    </row>
    <row r="101" spans="1:18" ht="15" x14ac:dyDescent="0.2">
      <c r="A101" s="325">
        <v>81</v>
      </c>
      <c r="B101" s="336" t="str">
        <f>IF(C101=1,"",LOOKUP(C101,Cities!A$3:A$343,Cities!C$3:C$343))</f>
        <v/>
      </c>
      <c r="C101" s="338">
        <f t="shared" si="6"/>
        <v>1</v>
      </c>
      <c r="D101" s="337">
        <f t="shared" si="6"/>
        <v>0</v>
      </c>
      <c r="E101" s="812">
        <f>ROUND('Print Return'!$L$37*'Overflow (2)'!M47,0)</f>
        <v>0</v>
      </c>
      <c r="F101" s="955"/>
      <c r="G101" s="1524"/>
      <c r="H101" s="1524"/>
      <c r="I101" s="1525">
        <f>IF(Data!D$33=TRUE,'Overflows Worksheet'!K89,'Overflows Worksheet'!T89)</f>
        <v>0</v>
      </c>
      <c r="J101" s="1525"/>
      <c r="K101" s="853">
        <f>LOOKUP(C47,Cities!A$3:A$343,Cities!D$3:D$343)</f>
        <v>0</v>
      </c>
      <c r="L101" s="1522">
        <f t="shared" si="3"/>
        <v>0</v>
      </c>
      <c r="M101" s="1523"/>
      <c r="N101" s="339">
        <f>LOOKUP($C47,Cities!$A$3:$A$356,Cities!$V$3:$V$356)</f>
        <v>0</v>
      </c>
      <c r="O101" s="936" t="str">
        <f t="shared" si="4"/>
        <v/>
      </c>
      <c r="P101" s="785"/>
      <c r="Q101" s="785">
        <f t="shared" si="5"/>
        <v>0</v>
      </c>
      <c r="R101" s="171"/>
    </row>
    <row r="102" spans="1:18" ht="15" x14ac:dyDescent="0.2">
      <c r="A102" s="325">
        <v>82</v>
      </c>
      <c r="B102" s="336" t="str">
        <f>IF(C102=1,"",LOOKUP(C102,Cities!A$3:A$343,Cities!C$3:C$343))</f>
        <v/>
      </c>
      <c r="C102" s="338">
        <f t="shared" si="6"/>
        <v>1</v>
      </c>
      <c r="D102" s="337">
        <f t="shared" si="6"/>
        <v>0</v>
      </c>
      <c r="E102" s="812">
        <f>ROUND('Print Return'!$L$37*'Overflow (2)'!M48,0)</f>
        <v>0</v>
      </c>
      <c r="F102" s="955"/>
      <c r="G102" s="1524"/>
      <c r="H102" s="1524"/>
      <c r="I102" s="1525">
        <f>IF(Data!D$33=TRUE,'Overflows Worksheet'!K90,'Overflows Worksheet'!T90)</f>
        <v>0</v>
      </c>
      <c r="J102" s="1525"/>
      <c r="K102" s="853">
        <f>LOOKUP(C48,Cities!A$3:A$343,Cities!D$3:D$343)</f>
        <v>0</v>
      </c>
      <c r="L102" s="1522">
        <f t="shared" si="3"/>
        <v>0</v>
      </c>
      <c r="M102" s="1523"/>
      <c r="N102" s="339">
        <f>LOOKUP($C48,Cities!$A$3:$A$356,Cities!$V$3:$V$356)</f>
        <v>0</v>
      </c>
      <c r="O102" s="936" t="str">
        <f t="shared" si="4"/>
        <v/>
      </c>
      <c r="P102" s="785"/>
      <c r="Q102" s="785">
        <f t="shared" si="5"/>
        <v>0</v>
      </c>
      <c r="R102" s="171"/>
    </row>
    <row r="103" spans="1:18" ht="15" x14ac:dyDescent="0.2">
      <c r="A103" s="325">
        <v>83</v>
      </c>
      <c r="B103" s="336" t="str">
        <f>IF(C103=1,"",LOOKUP(C103,Cities!A$3:A$343,Cities!C$3:C$343))</f>
        <v/>
      </c>
      <c r="C103" s="338">
        <f t="shared" si="6"/>
        <v>1</v>
      </c>
      <c r="D103" s="337">
        <f t="shared" si="6"/>
        <v>0</v>
      </c>
      <c r="E103" s="812">
        <f>ROUND('Print Return'!$L$37*'Overflow (2)'!M49,0)</f>
        <v>0</v>
      </c>
      <c r="F103" s="955"/>
      <c r="G103" s="1524"/>
      <c r="H103" s="1524"/>
      <c r="I103" s="1525">
        <f>IF(Data!D$33=TRUE,'Overflows Worksheet'!K91,'Overflows Worksheet'!T91)</f>
        <v>0</v>
      </c>
      <c r="J103" s="1525"/>
      <c r="K103" s="853">
        <f>LOOKUP(C49,Cities!A$3:A$343,Cities!D$3:D$343)</f>
        <v>0</v>
      </c>
      <c r="L103" s="1522">
        <f t="shared" si="3"/>
        <v>0</v>
      </c>
      <c r="M103" s="1523"/>
      <c r="N103" s="339">
        <f>LOOKUP($C49,Cities!$A$3:$A$356,Cities!$V$3:$V$356)</f>
        <v>0</v>
      </c>
      <c r="O103" s="936" t="str">
        <f t="shared" si="4"/>
        <v/>
      </c>
      <c r="P103" s="785"/>
      <c r="Q103" s="785">
        <f t="shared" si="5"/>
        <v>0</v>
      </c>
      <c r="R103" s="171"/>
    </row>
    <row r="104" spans="1:18" ht="15" x14ac:dyDescent="0.2">
      <c r="A104" s="325">
        <v>84</v>
      </c>
      <c r="B104" s="336" t="str">
        <f>IF(C104=1,"",LOOKUP(C104,Cities!A$3:A$343,Cities!C$3:C$343))</f>
        <v/>
      </c>
      <c r="C104" s="338">
        <f t="shared" si="6"/>
        <v>1</v>
      </c>
      <c r="D104" s="337">
        <f t="shared" si="6"/>
        <v>0</v>
      </c>
      <c r="E104" s="812">
        <f>ROUND('Print Return'!$L$37*'Overflow (2)'!M50,0)</f>
        <v>0</v>
      </c>
      <c r="F104" s="955"/>
      <c r="G104" s="1524"/>
      <c r="H104" s="1524"/>
      <c r="I104" s="1525">
        <f>IF(Data!D$33=TRUE,'Overflows Worksheet'!K92,'Overflows Worksheet'!T92)</f>
        <v>0</v>
      </c>
      <c r="J104" s="1525"/>
      <c r="K104" s="853">
        <f>LOOKUP(C50,Cities!A$3:A$343,Cities!D$3:D$343)</f>
        <v>0</v>
      </c>
      <c r="L104" s="1522">
        <f t="shared" si="3"/>
        <v>0</v>
      </c>
      <c r="M104" s="1523"/>
      <c r="N104" s="339">
        <f>LOOKUP($C50,Cities!$A$3:$A$356,Cities!$V$3:$V$356)</f>
        <v>0</v>
      </c>
      <c r="O104" s="936" t="str">
        <f t="shared" si="4"/>
        <v/>
      </c>
      <c r="P104" s="785"/>
      <c r="Q104" s="785">
        <f t="shared" si="5"/>
        <v>0</v>
      </c>
      <c r="R104" s="171"/>
    </row>
    <row r="105" spans="1:18" ht="15" x14ac:dyDescent="0.2">
      <c r="A105" s="325">
        <v>85</v>
      </c>
      <c r="B105" s="336" t="str">
        <f>IF(C105=1,"",LOOKUP(C105,Cities!A$3:A$343,Cities!C$3:C$343))</f>
        <v/>
      </c>
      <c r="C105" s="338">
        <f t="shared" si="6"/>
        <v>1</v>
      </c>
      <c r="D105" s="337">
        <f t="shared" si="6"/>
        <v>0</v>
      </c>
      <c r="E105" s="812">
        <f>ROUND('Print Return'!$L$37*'Overflow (2)'!M51,0)</f>
        <v>0</v>
      </c>
      <c r="F105" s="955"/>
      <c r="G105" s="1524"/>
      <c r="H105" s="1524"/>
      <c r="I105" s="1525">
        <f>IF(Data!D$33=TRUE,'Overflows Worksheet'!K93,'Overflows Worksheet'!T93)</f>
        <v>0</v>
      </c>
      <c r="J105" s="1525"/>
      <c r="K105" s="853">
        <f>LOOKUP(C51,Cities!A$3:A$343,Cities!D$3:D$343)</f>
        <v>0</v>
      </c>
      <c r="L105" s="1522">
        <f t="shared" si="3"/>
        <v>0</v>
      </c>
      <c r="M105" s="1523"/>
      <c r="N105" s="339">
        <f>LOOKUP($C51,Cities!$A$3:$A$356,Cities!$V$3:$V$356)</f>
        <v>0</v>
      </c>
      <c r="O105" s="936" t="str">
        <f t="shared" si="4"/>
        <v/>
      </c>
      <c r="P105" s="785"/>
      <c r="Q105" s="785">
        <f t="shared" si="5"/>
        <v>0</v>
      </c>
      <c r="R105" s="171"/>
    </row>
    <row r="106" spans="1:18" ht="15" x14ac:dyDescent="0.2">
      <c r="A106" s="325">
        <v>86</v>
      </c>
      <c r="B106" s="336" t="str">
        <f>IF(C106=1,"",LOOKUP(C106,Cities!A$3:A$343,Cities!C$3:C$343))</f>
        <v/>
      </c>
      <c r="C106" s="338">
        <f t="shared" ref="C106:D110" si="7">+C52</f>
        <v>1</v>
      </c>
      <c r="D106" s="337">
        <f t="shared" si="7"/>
        <v>0</v>
      </c>
      <c r="E106" s="812">
        <f>ROUND('Print Return'!$L$37*'Overflow (2)'!M52,0)</f>
        <v>0</v>
      </c>
      <c r="F106" s="955"/>
      <c r="G106" s="1524"/>
      <c r="H106" s="1524"/>
      <c r="I106" s="1525">
        <f>IF(Data!D$33=TRUE,'Overflows Worksheet'!K94,'Overflows Worksheet'!T94)</f>
        <v>0</v>
      </c>
      <c r="J106" s="1525"/>
      <c r="K106" s="853">
        <f>LOOKUP(C52,Cities!A$3:A$343,Cities!D$3:D$343)</f>
        <v>0</v>
      </c>
      <c r="L106" s="1522">
        <f t="shared" si="3"/>
        <v>0</v>
      </c>
      <c r="M106" s="1523"/>
      <c r="N106" s="339">
        <f>LOOKUP($C52,Cities!$A$3:$A$356,Cities!$V$3:$V$356)</f>
        <v>0</v>
      </c>
      <c r="O106" s="936" t="str">
        <f t="shared" si="4"/>
        <v/>
      </c>
      <c r="P106" s="785"/>
      <c r="Q106" s="785">
        <f t="shared" si="5"/>
        <v>0</v>
      </c>
      <c r="R106" s="171"/>
    </row>
    <row r="107" spans="1:18" ht="15" x14ac:dyDescent="0.2">
      <c r="A107" s="325">
        <v>87</v>
      </c>
      <c r="B107" s="336" t="str">
        <f>IF(C107=1,"",LOOKUP(C107,Cities!A$3:A$343,Cities!C$3:C$343))</f>
        <v/>
      </c>
      <c r="C107" s="338">
        <f t="shared" si="7"/>
        <v>1</v>
      </c>
      <c r="D107" s="337">
        <f t="shared" si="7"/>
        <v>0</v>
      </c>
      <c r="E107" s="812">
        <f>ROUND('Print Return'!$L$37*'Overflow (2)'!M53,0)</f>
        <v>0</v>
      </c>
      <c r="F107" s="955"/>
      <c r="G107" s="1524"/>
      <c r="H107" s="1524"/>
      <c r="I107" s="1525">
        <f>IF(Data!D$33=TRUE,'Overflows Worksheet'!K95,'Overflows Worksheet'!T95)</f>
        <v>0</v>
      </c>
      <c r="J107" s="1525"/>
      <c r="K107" s="853">
        <f>LOOKUP(C53,Cities!A$3:A$343,Cities!D$3:D$343)</f>
        <v>0</v>
      </c>
      <c r="L107" s="1522">
        <f t="shared" si="3"/>
        <v>0</v>
      </c>
      <c r="M107" s="1523"/>
      <c r="N107" s="339">
        <f>LOOKUP($C53,Cities!$A$3:$A$356,Cities!$V$3:$V$356)</f>
        <v>0</v>
      </c>
      <c r="O107" s="936" t="str">
        <f t="shared" si="4"/>
        <v/>
      </c>
      <c r="P107" s="785"/>
      <c r="Q107" s="785">
        <f t="shared" si="5"/>
        <v>0</v>
      </c>
      <c r="R107" s="171"/>
    </row>
    <row r="108" spans="1:18" ht="15" x14ac:dyDescent="0.2">
      <c r="A108" s="325">
        <v>88</v>
      </c>
      <c r="B108" s="336" t="str">
        <f>IF(C108=1,"",LOOKUP(C108,Cities!A$3:A$343,Cities!C$3:C$343))</f>
        <v/>
      </c>
      <c r="C108" s="338">
        <f t="shared" si="7"/>
        <v>1</v>
      </c>
      <c r="D108" s="337">
        <f t="shared" si="7"/>
        <v>0</v>
      </c>
      <c r="E108" s="812">
        <f>ROUND('Print Return'!$L$37*'Overflow (2)'!M54,0)</f>
        <v>0</v>
      </c>
      <c r="F108" s="955"/>
      <c r="G108" s="1524"/>
      <c r="H108" s="1524"/>
      <c r="I108" s="1525">
        <f>IF(Data!D$33=TRUE,'Overflows Worksheet'!K96,'Overflows Worksheet'!T96)</f>
        <v>0</v>
      </c>
      <c r="J108" s="1525"/>
      <c r="K108" s="853">
        <f>LOOKUP(C54,Cities!A$3:A$343,Cities!D$3:D$343)</f>
        <v>0</v>
      </c>
      <c r="L108" s="1522">
        <f t="shared" si="3"/>
        <v>0</v>
      </c>
      <c r="M108" s="1523"/>
      <c r="N108" s="339">
        <f>LOOKUP($C54,Cities!$A$3:$A$356,Cities!$V$3:$V$356)</f>
        <v>0</v>
      </c>
      <c r="O108" s="936" t="str">
        <f t="shared" si="4"/>
        <v/>
      </c>
      <c r="P108" s="785"/>
      <c r="Q108" s="785">
        <f t="shared" si="5"/>
        <v>0</v>
      </c>
      <c r="R108" s="171"/>
    </row>
    <row r="109" spans="1:18" ht="15" x14ac:dyDescent="0.2">
      <c r="A109" s="325">
        <v>89</v>
      </c>
      <c r="B109" s="336" t="str">
        <f>IF(C109=1,"",LOOKUP(C109,Cities!A$3:A$343,Cities!C$3:C$343))</f>
        <v/>
      </c>
      <c r="C109" s="338">
        <f t="shared" si="7"/>
        <v>1</v>
      </c>
      <c r="D109" s="337">
        <f t="shared" si="7"/>
        <v>0</v>
      </c>
      <c r="E109" s="812">
        <f>ROUND('Print Return'!$L$37*'Overflow (2)'!M55,0)</f>
        <v>0</v>
      </c>
      <c r="F109" s="955"/>
      <c r="G109" s="1524"/>
      <c r="H109" s="1524"/>
      <c r="I109" s="1525">
        <f>IF(Data!D$33=TRUE,'Overflows Worksheet'!K97,'Overflows Worksheet'!T97)</f>
        <v>0</v>
      </c>
      <c r="J109" s="1525"/>
      <c r="K109" s="853">
        <f>LOOKUP(C55,Cities!A$3:A$343,Cities!D$3:D$343)</f>
        <v>0</v>
      </c>
      <c r="L109" s="1522">
        <f t="shared" si="3"/>
        <v>0</v>
      </c>
      <c r="M109" s="1523"/>
      <c r="N109" s="339">
        <f>LOOKUP($C55,Cities!$A$3:$A$356,Cities!$V$3:$V$356)</f>
        <v>0</v>
      </c>
      <c r="O109" s="936" t="str">
        <f t="shared" si="4"/>
        <v/>
      </c>
      <c r="P109" s="785"/>
      <c r="Q109" s="785">
        <f t="shared" si="5"/>
        <v>0</v>
      </c>
      <c r="R109" s="171"/>
    </row>
    <row r="110" spans="1:18" ht="15.75" thickBot="1" x14ac:dyDescent="0.25">
      <c r="A110" s="325">
        <v>90</v>
      </c>
      <c r="B110" s="336" t="str">
        <f>IF(C110=1,"",LOOKUP(C110,Cities!A$3:A$343,Cities!C$3:C$343))</f>
        <v/>
      </c>
      <c r="C110" s="338">
        <f t="shared" si="7"/>
        <v>1</v>
      </c>
      <c r="D110" s="337">
        <f t="shared" si="7"/>
        <v>0</v>
      </c>
      <c r="E110" s="814">
        <f>ROUND('Print Return'!$L$37*'Overflow (2)'!M56,0)</f>
        <v>0</v>
      </c>
      <c r="F110" s="956"/>
      <c r="G110" s="1564"/>
      <c r="H110" s="1564"/>
      <c r="I110" s="1525">
        <f>IF(Data!D$33=TRUE,'Overflows Worksheet'!K98,'Overflows Worksheet'!T98)</f>
        <v>0</v>
      </c>
      <c r="J110" s="1525"/>
      <c r="K110" s="854">
        <f>LOOKUP(C56,Cities!A$3:A$343,Cities!D$3:D$343)</f>
        <v>0</v>
      </c>
      <c r="L110" s="1562">
        <f t="shared" si="3"/>
        <v>0</v>
      </c>
      <c r="M110" s="1563"/>
      <c r="N110" s="339">
        <f>LOOKUP($C56,Cities!$A$3:$A$356,Cities!$V$3:$V$356)</f>
        <v>0</v>
      </c>
      <c r="O110" s="936" t="str">
        <f t="shared" si="4"/>
        <v/>
      </c>
      <c r="P110" s="785"/>
      <c r="Q110" s="785">
        <f t="shared" si="5"/>
        <v>0</v>
      </c>
      <c r="R110" s="171"/>
    </row>
    <row r="111" spans="1:18" ht="15" x14ac:dyDescent="0.2">
      <c r="B111" s="6" t="s">
        <v>1791</v>
      </c>
      <c r="C111" s="6"/>
      <c r="D111" s="6"/>
      <c r="E111" s="813">
        <f>SUM(E66:E110)</f>
        <v>0</v>
      </c>
      <c r="F111" s="958">
        <f>SUM(F66:F110)</f>
        <v>0</v>
      </c>
      <c r="G111" s="1561">
        <f>SUM(G66:G110)</f>
        <v>0</v>
      </c>
      <c r="H111" s="1561"/>
      <c r="I111" s="1566">
        <f>SUM(I66:I110)</f>
        <v>0</v>
      </c>
      <c r="J111" s="1566"/>
      <c r="K111" s="855"/>
      <c r="L111" s="1561">
        <f>SUM(L66:L110)</f>
        <v>0</v>
      </c>
      <c r="M111" s="1561"/>
      <c r="O111" s="786"/>
      <c r="P111" s="171"/>
      <c r="Q111" s="785">
        <f>SUM(Q66:Q110)</f>
        <v>0</v>
      </c>
      <c r="R111" s="171"/>
    </row>
    <row r="112" spans="1:18" s="6" customFormat="1" ht="15" x14ac:dyDescent="0.2">
      <c r="O112" s="602"/>
      <c r="P112" s="602"/>
      <c r="Q112" s="602"/>
      <c r="R112" s="602"/>
    </row>
  </sheetData>
  <sheetProtection algorithmName="SHA-512" hashValue="JiIEMPAY1evacETugOfadOQ/nZ/TZ4tO9GtdrgITpqDxw3fokumGgXSMy0fADmWqqeILv88rk71Wg+EBxmwNUQ==" saltValue="jJFDolASpcsyyBP9TVSxQg==" spinCount="100000" sheet="1" objects="1" scenarios="1"/>
  <mergeCells count="171">
    <mergeCell ref="I92:J92"/>
    <mergeCell ref="I70:J70"/>
    <mergeCell ref="I71:J71"/>
    <mergeCell ref="I72:J72"/>
    <mergeCell ref="I73:J73"/>
    <mergeCell ref="K58:K59"/>
    <mergeCell ref="D59:J60"/>
    <mergeCell ref="D64:D65"/>
    <mergeCell ref="L65:M65"/>
    <mergeCell ref="B62:J62"/>
    <mergeCell ref="K62:M62"/>
    <mergeCell ref="L64:M64"/>
    <mergeCell ref="E64:E65"/>
    <mergeCell ref="F64:F65"/>
    <mergeCell ref="I64:J65"/>
    <mergeCell ref="L67:M67"/>
    <mergeCell ref="L68:M68"/>
    <mergeCell ref="L69:M69"/>
    <mergeCell ref="I78:J78"/>
    <mergeCell ref="L79:M79"/>
    <mergeCell ref="L80:M80"/>
    <mergeCell ref="L81:M81"/>
    <mergeCell ref="L82:M82"/>
    <mergeCell ref="L83:M83"/>
    <mergeCell ref="L78:M78"/>
    <mergeCell ref="L74:M74"/>
    <mergeCell ref="L75:M75"/>
    <mergeCell ref="L76:M76"/>
    <mergeCell ref="L77:M77"/>
    <mergeCell ref="L70:M70"/>
    <mergeCell ref="L71:M71"/>
    <mergeCell ref="L72:M72"/>
    <mergeCell ref="L73:M73"/>
    <mergeCell ref="A1:B1"/>
    <mergeCell ref="K4:M4"/>
    <mergeCell ref="D1:K2"/>
    <mergeCell ref="A2:B2"/>
    <mergeCell ref="B4:J4"/>
    <mergeCell ref="A59:B59"/>
    <mergeCell ref="D10:D11"/>
    <mergeCell ref="E10:H10"/>
    <mergeCell ref="A60:B60"/>
    <mergeCell ref="E6:F6"/>
    <mergeCell ref="E7:F7"/>
    <mergeCell ref="I10:J10"/>
    <mergeCell ref="K10:L10"/>
    <mergeCell ref="E8:F8"/>
    <mergeCell ref="I6:J6"/>
    <mergeCell ref="I8:J8"/>
    <mergeCell ref="B6:B8"/>
    <mergeCell ref="L1:M1"/>
    <mergeCell ref="L2:M2"/>
    <mergeCell ref="L59:M59"/>
    <mergeCell ref="L60:M60"/>
    <mergeCell ref="L97:M97"/>
    <mergeCell ref="L91:M91"/>
    <mergeCell ref="L96:M96"/>
    <mergeCell ref="L111:M111"/>
    <mergeCell ref="L84:M84"/>
    <mergeCell ref="L85:M85"/>
    <mergeCell ref="L87:M87"/>
    <mergeCell ref="L89:M89"/>
    <mergeCell ref="L108:M108"/>
    <mergeCell ref="L110:M110"/>
    <mergeCell ref="L106:M106"/>
    <mergeCell ref="L107:M107"/>
    <mergeCell ref="L109:M109"/>
    <mergeCell ref="L90:M90"/>
    <mergeCell ref="L88:M88"/>
    <mergeCell ref="L86:M86"/>
    <mergeCell ref="L93:M93"/>
    <mergeCell ref="L100:M100"/>
    <mergeCell ref="L95:M95"/>
    <mergeCell ref="L94:M94"/>
    <mergeCell ref="L92:M92"/>
    <mergeCell ref="I96:J96"/>
    <mergeCell ref="I95:J95"/>
    <mergeCell ref="I94:J94"/>
    <mergeCell ref="I66:J66"/>
    <mergeCell ref="I67:J67"/>
    <mergeCell ref="I68:J68"/>
    <mergeCell ref="I69:J69"/>
    <mergeCell ref="L66:M66"/>
    <mergeCell ref="G99:H99"/>
    <mergeCell ref="I79:J79"/>
    <mergeCell ref="I74:J74"/>
    <mergeCell ref="I75:J75"/>
    <mergeCell ref="I76:J76"/>
    <mergeCell ref="I77:J77"/>
    <mergeCell ref="I80:J80"/>
    <mergeCell ref="G71:H71"/>
    <mergeCell ref="G72:H72"/>
    <mergeCell ref="G73:H73"/>
    <mergeCell ref="G79:H79"/>
    <mergeCell ref="G80:H80"/>
    <mergeCell ref="G66:H66"/>
    <mergeCell ref="G67:H67"/>
    <mergeCell ref="G68:H68"/>
    <mergeCell ref="G69:H69"/>
    <mergeCell ref="G91:H91"/>
    <mergeCell ref="G97:H97"/>
    <mergeCell ref="G96:H96"/>
    <mergeCell ref="G95:H95"/>
    <mergeCell ref="G94:H94"/>
    <mergeCell ref="I111:J111"/>
    <mergeCell ref="I81:J81"/>
    <mergeCell ref="I83:J83"/>
    <mergeCell ref="I85:J85"/>
    <mergeCell ref="I87:J87"/>
    <mergeCell ref="I89:J89"/>
    <mergeCell ref="I84:J84"/>
    <mergeCell ref="I107:J107"/>
    <mergeCell ref="I109:J109"/>
    <mergeCell ref="I110:J110"/>
    <mergeCell ref="I108:J108"/>
    <mergeCell ref="I106:J106"/>
    <mergeCell ref="I82:J82"/>
    <mergeCell ref="I90:J90"/>
    <mergeCell ref="I88:J88"/>
    <mergeCell ref="I86:J86"/>
    <mergeCell ref="I93:J93"/>
    <mergeCell ref="I97:J97"/>
    <mergeCell ref="I91:J91"/>
    <mergeCell ref="G70:H70"/>
    <mergeCell ref="I99:J99"/>
    <mergeCell ref="L99:M99"/>
    <mergeCell ref="G98:H98"/>
    <mergeCell ref="I98:J98"/>
    <mergeCell ref="L98:M98"/>
    <mergeCell ref="G111:H111"/>
    <mergeCell ref="G81:H81"/>
    <mergeCell ref="G83:H83"/>
    <mergeCell ref="G85:H85"/>
    <mergeCell ref="G87:H87"/>
    <mergeCell ref="G89:H89"/>
    <mergeCell ref="G84:H84"/>
    <mergeCell ref="G107:H107"/>
    <mergeCell ref="G109:H109"/>
    <mergeCell ref="G110:H110"/>
    <mergeCell ref="G108:H108"/>
    <mergeCell ref="G106:H106"/>
    <mergeCell ref="G82:H82"/>
    <mergeCell ref="G90:H90"/>
    <mergeCell ref="G88:H88"/>
    <mergeCell ref="G86:H86"/>
    <mergeCell ref="G93:H93"/>
    <mergeCell ref="G92:H92"/>
    <mergeCell ref="O64:O65"/>
    <mergeCell ref="G105:H105"/>
    <mergeCell ref="I105:J105"/>
    <mergeCell ref="L105:M105"/>
    <mergeCell ref="G104:H104"/>
    <mergeCell ref="I104:J104"/>
    <mergeCell ref="L104:M104"/>
    <mergeCell ref="G103:H103"/>
    <mergeCell ref="I103:J103"/>
    <mergeCell ref="L103:M103"/>
    <mergeCell ref="G102:H102"/>
    <mergeCell ref="I102:J102"/>
    <mergeCell ref="L102:M102"/>
    <mergeCell ref="G101:H101"/>
    <mergeCell ref="I101:J101"/>
    <mergeCell ref="L101:M101"/>
    <mergeCell ref="G100:H100"/>
    <mergeCell ref="I100:J100"/>
    <mergeCell ref="G64:H65"/>
    <mergeCell ref="G78:H78"/>
    <mergeCell ref="G74:H74"/>
    <mergeCell ref="G75:H75"/>
    <mergeCell ref="G76:H76"/>
    <mergeCell ref="G77:H77"/>
  </mergeCells>
  <phoneticPr fontId="2" type="noConversion"/>
  <conditionalFormatting sqref="G66:H110">
    <cfRule type="expression" dxfId="28" priority="3" stopIfTrue="1">
      <formula>$N66=0</formula>
    </cfRule>
  </conditionalFormatting>
  <conditionalFormatting sqref="E66:E110 I66:L110">
    <cfRule type="expression" dxfId="27" priority="4" stopIfTrue="1">
      <formula>$D66=0</formula>
    </cfRule>
  </conditionalFormatting>
  <conditionalFormatting sqref="N66:N110">
    <cfRule type="expression" dxfId="26" priority="5" stopIfTrue="1">
      <formula>"LOOKUP(C12,Cities!$A$3:$A$169,Cities!$L$3:$L$169)=0"</formula>
    </cfRule>
  </conditionalFormatting>
  <pageMargins left="0.5" right="0.5" top="0.5" bottom="0.5" header="0.5" footer="0.5"/>
  <pageSetup scale="75" orientation="portrait" r:id="rId1"/>
  <headerFooter alignWithMargins="0"/>
  <rowBreaks count="1" manualBreakCount="1">
    <brk id="5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9217" r:id="rId4" name="Drop Down 1">
              <controlPr defaultSize="0" autoLine="0" autoPict="0">
                <anchor moveWithCells="1">
                  <from>
                    <xdr:col>1</xdr:col>
                    <xdr:colOff>9525</xdr:colOff>
                    <xdr:row>11</xdr:row>
                    <xdr:rowOff>9525</xdr:rowOff>
                  </from>
                  <to>
                    <xdr:col>1</xdr:col>
                    <xdr:colOff>1924050</xdr:colOff>
                    <xdr:row>11</xdr:row>
                    <xdr:rowOff>209550</xdr:rowOff>
                  </to>
                </anchor>
              </controlPr>
            </control>
          </mc:Choice>
        </mc:AlternateContent>
        <mc:AlternateContent xmlns:mc="http://schemas.openxmlformats.org/markup-compatibility/2006">
          <mc:Choice Requires="x14">
            <control shapeId="9218" r:id="rId5" name="Drop Down 2">
              <controlPr defaultSize="0" autoLine="0" autoPict="0">
                <anchor moveWithCells="1">
                  <from>
                    <xdr:col>1</xdr:col>
                    <xdr:colOff>9525</xdr:colOff>
                    <xdr:row>12</xdr:row>
                    <xdr:rowOff>9525</xdr:rowOff>
                  </from>
                  <to>
                    <xdr:col>1</xdr:col>
                    <xdr:colOff>1924050</xdr:colOff>
                    <xdr:row>12</xdr:row>
                    <xdr:rowOff>209550</xdr:rowOff>
                  </to>
                </anchor>
              </controlPr>
            </control>
          </mc:Choice>
        </mc:AlternateContent>
        <mc:AlternateContent xmlns:mc="http://schemas.openxmlformats.org/markup-compatibility/2006">
          <mc:Choice Requires="x14">
            <control shapeId="9219" r:id="rId6" name="Drop Down 3">
              <controlPr defaultSize="0" autoLine="0" autoPict="0">
                <anchor moveWithCells="1">
                  <from>
                    <xdr:col>1</xdr:col>
                    <xdr:colOff>9525</xdr:colOff>
                    <xdr:row>13</xdr:row>
                    <xdr:rowOff>19050</xdr:rowOff>
                  </from>
                  <to>
                    <xdr:col>1</xdr:col>
                    <xdr:colOff>1924050</xdr:colOff>
                    <xdr:row>13</xdr:row>
                    <xdr:rowOff>219075</xdr:rowOff>
                  </to>
                </anchor>
              </controlPr>
            </control>
          </mc:Choice>
        </mc:AlternateContent>
        <mc:AlternateContent xmlns:mc="http://schemas.openxmlformats.org/markup-compatibility/2006">
          <mc:Choice Requires="x14">
            <control shapeId="9220" r:id="rId7" name="Drop Down 4">
              <controlPr defaultSize="0" autoLine="0" autoPict="0">
                <anchor moveWithCells="1">
                  <from>
                    <xdr:col>1</xdr:col>
                    <xdr:colOff>9525</xdr:colOff>
                    <xdr:row>14</xdr:row>
                    <xdr:rowOff>19050</xdr:rowOff>
                  </from>
                  <to>
                    <xdr:col>1</xdr:col>
                    <xdr:colOff>1924050</xdr:colOff>
                    <xdr:row>14</xdr:row>
                    <xdr:rowOff>219075</xdr:rowOff>
                  </to>
                </anchor>
              </controlPr>
            </control>
          </mc:Choice>
        </mc:AlternateContent>
        <mc:AlternateContent xmlns:mc="http://schemas.openxmlformats.org/markup-compatibility/2006">
          <mc:Choice Requires="x14">
            <control shapeId="9221" r:id="rId8" name="Drop Down 5">
              <controlPr defaultSize="0" autoLine="0" autoPict="0">
                <anchor moveWithCells="1">
                  <from>
                    <xdr:col>1</xdr:col>
                    <xdr:colOff>9525</xdr:colOff>
                    <xdr:row>15</xdr:row>
                    <xdr:rowOff>19050</xdr:rowOff>
                  </from>
                  <to>
                    <xdr:col>1</xdr:col>
                    <xdr:colOff>1924050</xdr:colOff>
                    <xdr:row>15</xdr:row>
                    <xdr:rowOff>219075</xdr:rowOff>
                  </to>
                </anchor>
              </controlPr>
            </control>
          </mc:Choice>
        </mc:AlternateContent>
        <mc:AlternateContent xmlns:mc="http://schemas.openxmlformats.org/markup-compatibility/2006">
          <mc:Choice Requires="x14">
            <control shapeId="9222" r:id="rId9" name="Drop Down 6">
              <controlPr defaultSize="0" autoLine="0" autoPict="0">
                <anchor moveWithCells="1">
                  <from>
                    <xdr:col>1</xdr:col>
                    <xdr:colOff>9525</xdr:colOff>
                    <xdr:row>16</xdr:row>
                    <xdr:rowOff>19050</xdr:rowOff>
                  </from>
                  <to>
                    <xdr:col>1</xdr:col>
                    <xdr:colOff>1924050</xdr:colOff>
                    <xdr:row>16</xdr:row>
                    <xdr:rowOff>219075</xdr:rowOff>
                  </to>
                </anchor>
              </controlPr>
            </control>
          </mc:Choice>
        </mc:AlternateContent>
        <mc:AlternateContent xmlns:mc="http://schemas.openxmlformats.org/markup-compatibility/2006">
          <mc:Choice Requires="x14">
            <control shapeId="9223" r:id="rId10" name="Drop Down 7">
              <controlPr defaultSize="0" autoLine="0" autoPict="0">
                <anchor moveWithCells="1">
                  <from>
                    <xdr:col>1</xdr:col>
                    <xdr:colOff>9525</xdr:colOff>
                    <xdr:row>17</xdr:row>
                    <xdr:rowOff>19050</xdr:rowOff>
                  </from>
                  <to>
                    <xdr:col>1</xdr:col>
                    <xdr:colOff>1924050</xdr:colOff>
                    <xdr:row>17</xdr:row>
                    <xdr:rowOff>219075</xdr:rowOff>
                  </to>
                </anchor>
              </controlPr>
            </control>
          </mc:Choice>
        </mc:AlternateContent>
        <mc:AlternateContent xmlns:mc="http://schemas.openxmlformats.org/markup-compatibility/2006">
          <mc:Choice Requires="x14">
            <control shapeId="9224" r:id="rId11" name="Drop Down 8">
              <controlPr defaultSize="0" autoLine="0" autoPict="0">
                <anchor moveWithCells="1">
                  <from>
                    <xdr:col>1</xdr:col>
                    <xdr:colOff>9525</xdr:colOff>
                    <xdr:row>18</xdr:row>
                    <xdr:rowOff>19050</xdr:rowOff>
                  </from>
                  <to>
                    <xdr:col>1</xdr:col>
                    <xdr:colOff>1924050</xdr:colOff>
                    <xdr:row>18</xdr:row>
                    <xdr:rowOff>219075</xdr:rowOff>
                  </to>
                </anchor>
              </controlPr>
            </control>
          </mc:Choice>
        </mc:AlternateContent>
        <mc:AlternateContent xmlns:mc="http://schemas.openxmlformats.org/markup-compatibility/2006">
          <mc:Choice Requires="x14">
            <control shapeId="9225" r:id="rId12" name="Drop Down 9">
              <controlPr defaultSize="0" autoLine="0" autoPict="0">
                <anchor moveWithCells="1">
                  <from>
                    <xdr:col>1</xdr:col>
                    <xdr:colOff>9525</xdr:colOff>
                    <xdr:row>19</xdr:row>
                    <xdr:rowOff>28575</xdr:rowOff>
                  </from>
                  <to>
                    <xdr:col>1</xdr:col>
                    <xdr:colOff>1924050</xdr:colOff>
                    <xdr:row>20</xdr:row>
                    <xdr:rowOff>0</xdr:rowOff>
                  </to>
                </anchor>
              </controlPr>
            </control>
          </mc:Choice>
        </mc:AlternateContent>
        <mc:AlternateContent xmlns:mc="http://schemas.openxmlformats.org/markup-compatibility/2006">
          <mc:Choice Requires="x14">
            <control shapeId="9226" r:id="rId13" name="Drop Down 10">
              <controlPr defaultSize="0" autoLine="0" autoPict="0">
                <anchor moveWithCells="1">
                  <from>
                    <xdr:col>1</xdr:col>
                    <xdr:colOff>9525</xdr:colOff>
                    <xdr:row>20</xdr:row>
                    <xdr:rowOff>19050</xdr:rowOff>
                  </from>
                  <to>
                    <xdr:col>1</xdr:col>
                    <xdr:colOff>1924050</xdr:colOff>
                    <xdr:row>20</xdr:row>
                    <xdr:rowOff>219075</xdr:rowOff>
                  </to>
                </anchor>
              </controlPr>
            </control>
          </mc:Choice>
        </mc:AlternateContent>
        <mc:AlternateContent xmlns:mc="http://schemas.openxmlformats.org/markup-compatibility/2006">
          <mc:Choice Requires="x14">
            <control shapeId="9227" r:id="rId14" name="Drop Down 11">
              <controlPr defaultSize="0" autoLine="0" autoPict="0">
                <anchor moveWithCells="1">
                  <from>
                    <xdr:col>1</xdr:col>
                    <xdr:colOff>9525</xdr:colOff>
                    <xdr:row>21</xdr:row>
                    <xdr:rowOff>28575</xdr:rowOff>
                  </from>
                  <to>
                    <xdr:col>1</xdr:col>
                    <xdr:colOff>1924050</xdr:colOff>
                    <xdr:row>22</xdr:row>
                    <xdr:rowOff>0</xdr:rowOff>
                  </to>
                </anchor>
              </controlPr>
            </control>
          </mc:Choice>
        </mc:AlternateContent>
        <mc:AlternateContent xmlns:mc="http://schemas.openxmlformats.org/markup-compatibility/2006">
          <mc:Choice Requires="x14">
            <control shapeId="9228" r:id="rId15" name="Drop Down 12">
              <controlPr defaultSize="0" autoLine="0" autoPict="0">
                <anchor moveWithCells="1">
                  <from>
                    <xdr:col>1</xdr:col>
                    <xdr:colOff>9525</xdr:colOff>
                    <xdr:row>22</xdr:row>
                    <xdr:rowOff>28575</xdr:rowOff>
                  </from>
                  <to>
                    <xdr:col>1</xdr:col>
                    <xdr:colOff>1924050</xdr:colOff>
                    <xdr:row>23</xdr:row>
                    <xdr:rowOff>0</xdr:rowOff>
                  </to>
                </anchor>
              </controlPr>
            </control>
          </mc:Choice>
        </mc:AlternateContent>
        <mc:AlternateContent xmlns:mc="http://schemas.openxmlformats.org/markup-compatibility/2006">
          <mc:Choice Requires="x14">
            <control shapeId="9229" r:id="rId16" name="Drop Down 13">
              <controlPr defaultSize="0" autoLine="0" autoPict="0">
                <anchor moveWithCells="1">
                  <from>
                    <xdr:col>1</xdr:col>
                    <xdr:colOff>9525</xdr:colOff>
                    <xdr:row>23</xdr:row>
                    <xdr:rowOff>19050</xdr:rowOff>
                  </from>
                  <to>
                    <xdr:col>1</xdr:col>
                    <xdr:colOff>1924050</xdr:colOff>
                    <xdr:row>23</xdr:row>
                    <xdr:rowOff>219075</xdr:rowOff>
                  </to>
                </anchor>
              </controlPr>
            </control>
          </mc:Choice>
        </mc:AlternateContent>
        <mc:AlternateContent xmlns:mc="http://schemas.openxmlformats.org/markup-compatibility/2006">
          <mc:Choice Requires="x14">
            <control shapeId="9230" r:id="rId17" name="Drop Down 14">
              <controlPr defaultSize="0" autoLine="0" autoPict="0">
                <anchor moveWithCells="1">
                  <from>
                    <xdr:col>1</xdr:col>
                    <xdr:colOff>9525</xdr:colOff>
                    <xdr:row>24</xdr:row>
                    <xdr:rowOff>28575</xdr:rowOff>
                  </from>
                  <to>
                    <xdr:col>1</xdr:col>
                    <xdr:colOff>1924050</xdr:colOff>
                    <xdr:row>25</xdr:row>
                    <xdr:rowOff>0</xdr:rowOff>
                  </to>
                </anchor>
              </controlPr>
            </control>
          </mc:Choice>
        </mc:AlternateContent>
        <mc:AlternateContent xmlns:mc="http://schemas.openxmlformats.org/markup-compatibility/2006">
          <mc:Choice Requires="x14">
            <control shapeId="9231" r:id="rId18" name="Drop Down 15">
              <controlPr defaultSize="0" autoLine="0" autoPict="0">
                <anchor moveWithCells="1">
                  <from>
                    <xdr:col>1</xdr:col>
                    <xdr:colOff>9525</xdr:colOff>
                    <xdr:row>25</xdr:row>
                    <xdr:rowOff>19050</xdr:rowOff>
                  </from>
                  <to>
                    <xdr:col>1</xdr:col>
                    <xdr:colOff>1924050</xdr:colOff>
                    <xdr:row>25</xdr:row>
                    <xdr:rowOff>219075</xdr:rowOff>
                  </to>
                </anchor>
              </controlPr>
            </control>
          </mc:Choice>
        </mc:AlternateContent>
        <mc:AlternateContent xmlns:mc="http://schemas.openxmlformats.org/markup-compatibility/2006">
          <mc:Choice Requires="x14">
            <control shapeId="9232" r:id="rId19" name="Drop Down 16">
              <controlPr defaultSize="0" autoLine="0" autoPict="0">
                <anchor moveWithCells="1">
                  <from>
                    <xdr:col>1</xdr:col>
                    <xdr:colOff>9525</xdr:colOff>
                    <xdr:row>26</xdr:row>
                    <xdr:rowOff>19050</xdr:rowOff>
                  </from>
                  <to>
                    <xdr:col>1</xdr:col>
                    <xdr:colOff>1924050</xdr:colOff>
                    <xdr:row>26</xdr:row>
                    <xdr:rowOff>219075</xdr:rowOff>
                  </to>
                </anchor>
              </controlPr>
            </control>
          </mc:Choice>
        </mc:AlternateContent>
        <mc:AlternateContent xmlns:mc="http://schemas.openxmlformats.org/markup-compatibility/2006">
          <mc:Choice Requires="x14">
            <control shapeId="9233" r:id="rId20" name="Drop Down 17">
              <controlPr defaultSize="0" autoLine="0" autoPict="0">
                <anchor moveWithCells="1">
                  <from>
                    <xdr:col>1</xdr:col>
                    <xdr:colOff>9525</xdr:colOff>
                    <xdr:row>27</xdr:row>
                    <xdr:rowOff>19050</xdr:rowOff>
                  </from>
                  <to>
                    <xdr:col>1</xdr:col>
                    <xdr:colOff>1924050</xdr:colOff>
                    <xdr:row>27</xdr:row>
                    <xdr:rowOff>219075</xdr:rowOff>
                  </to>
                </anchor>
              </controlPr>
            </control>
          </mc:Choice>
        </mc:AlternateContent>
        <mc:AlternateContent xmlns:mc="http://schemas.openxmlformats.org/markup-compatibility/2006">
          <mc:Choice Requires="x14">
            <control shapeId="9234" r:id="rId21" name="Drop Down 18">
              <controlPr defaultSize="0" autoLine="0" autoPict="0">
                <anchor moveWithCells="1">
                  <from>
                    <xdr:col>1</xdr:col>
                    <xdr:colOff>9525</xdr:colOff>
                    <xdr:row>28</xdr:row>
                    <xdr:rowOff>19050</xdr:rowOff>
                  </from>
                  <to>
                    <xdr:col>1</xdr:col>
                    <xdr:colOff>1924050</xdr:colOff>
                    <xdr:row>28</xdr:row>
                    <xdr:rowOff>219075</xdr:rowOff>
                  </to>
                </anchor>
              </controlPr>
            </control>
          </mc:Choice>
        </mc:AlternateContent>
        <mc:AlternateContent xmlns:mc="http://schemas.openxmlformats.org/markup-compatibility/2006">
          <mc:Choice Requires="x14">
            <control shapeId="9235" r:id="rId22" name="Drop Down 19">
              <controlPr defaultSize="0" autoLine="0" autoPict="0">
                <anchor moveWithCells="1">
                  <from>
                    <xdr:col>1</xdr:col>
                    <xdr:colOff>9525</xdr:colOff>
                    <xdr:row>29</xdr:row>
                    <xdr:rowOff>19050</xdr:rowOff>
                  </from>
                  <to>
                    <xdr:col>1</xdr:col>
                    <xdr:colOff>1924050</xdr:colOff>
                    <xdr:row>29</xdr:row>
                    <xdr:rowOff>219075</xdr:rowOff>
                  </to>
                </anchor>
              </controlPr>
            </control>
          </mc:Choice>
        </mc:AlternateContent>
        <mc:AlternateContent xmlns:mc="http://schemas.openxmlformats.org/markup-compatibility/2006">
          <mc:Choice Requires="x14">
            <control shapeId="9236" r:id="rId23" name="Drop Down 20">
              <controlPr defaultSize="0" autoLine="0" autoPict="0">
                <anchor moveWithCells="1">
                  <from>
                    <xdr:col>1</xdr:col>
                    <xdr:colOff>9525</xdr:colOff>
                    <xdr:row>30</xdr:row>
                    <xdr:rowOff>19050</xdr:rowOff>
                  </from>
                  <to>
                    <xdr:col>1</xdr:col>
                    <xdr:colOff>1924050</xdr:colOff>
                    <xdr:row>30</xdr:row>
                    <xdr:rowOff>219075</xdr:rowOff>
                  </to>
                </anchor>
              </controlPr>
            </control>
          </mc:Choice>
        </mc:AlternateContent>
        <mc:AlternateContent xmlns:mc="http://schemas.openxmlformats.org/markup-compatibility/2006">
          <mc:Choice Requires="x14">
            <control shapeId="9237" r:id="rId24" name="Drop Down 21">
              <controlPr defaultSize="0" autoLine="0" autoPict="0">
                <anchor moveWithCells="1">
                  <from>
                    <xdr:col>1</xdr:col>
                    <xdr:colOff>9525</xdr:colOff>
                    <xdr:row>31</xdr:row>
                    <xdr:rowOff>19050</xdr:rowOff>
                  </from>
                  <to>
                    <xdr:col>1</xdr:col>
                    <xdr:colOff>1924050</xdr:colOff>
                    <xdr:row>31</xdr:row>
                    <xdr:rowOff>219075</xdr:rowOff>
                  </to>
                </anchor>
              </controlPr>
            </control>
          </mc:Choice>
        </mc:AlternateContent>
        <mc:AlternateContent xmlns:mc="http://schemas.openxmlformats.org/markup-compatibility/2006">
          <mc:Choice Requires="x14">
            <control shapeId="9238" r:id="rId25" name="Drop Down 22">
              <controlPr defaultSize="0" autoLine="0" autoPict="0">
                <anchor moveWithCells="1">
                  <from>
                    <xdr:col>1</xdr:col>
                    <xdr:colOff>9525</xdr:colOff>
                    <xdr:row>32</xdr:row>
                    <xdr:rowOff>19050</xdr:rowOff>
                  </from>
                  <to>
                    <xdr:col>1</xdr:col>
                    <xdr:colOff>1924050</xdr:colOff>
                    <xdr:row>32</xdr:row>
                    <xdr:rowOff>219075</xdr:rowOff>
                  </to>
                </anchor>
              </controlPr>
            </control>
          </mc:Choice>
        </mc:AlternateContent>
        <mc:AlternateContent xmlns:mc="http://schemas.openxmlformats.org/markup-compatibility/2006">
          <mc:Choice Requires="x14">
            <control shapeId="9239" r:id="rId26" name="Drop Down 23">
              <controlPr defaultSize="0" autoLine="0" autoPict="0">
                <anchor moveWithCells="1">
                  <from>
                    <xdr:col>1</xdr:col>
                    <xdr:colOff>9525</xdr:colOff>
                    <xdr:row>33</xdr:row>
                    <xdr:rowOff>19050</xdr:rowOff>
                  </from>
                  <to>
                    <xdr:col>1</xdr:col>
                    <xdr:colOff>1924050</xdr:colOff>
                    <xdr:row>33</xdr:row>
                    <xdr:rowOff>219075</xdr:rowOff>
                  </to>
                </anchor>
              </controlPr>
            </control>
          </mc:Choice>
        </mc:AlternateContent>
        <mc:AlternateContent xmlns:mc="http://schemas.openxmlformats.org/markup-compatibility/2006">
          <mc:Choice Requires="x14">
            <control shapeId="9240" r:id="rId27" name="Drop Down 24">
              <controlPr defaultSize="0" autoLine="0" autoPict="0">
                <anchor moveWithCells="1">
                  <from>
                    <xdr:col>1</xdr:col>
                    <xdr:colOff>9525</xdr:colOff>
                    <xdr:row>34</xdr:row>
                    <xdr:rowOff>19050</xdr:rowOff>
                  </from>
                  <to>
                    <xdr:col>1</xdr:col>
                    <xdr:colOff>1924050</xdr:colOff>
                    <xdr:row>34</xdr:row>
                    <xdr:rowOff>219075</xdr:rowOff>
                  </to>
                </anchor>
              </controlPr>
            </control>
          </mc:Choice>
        </mc:AlternateContent>
        <mc:AlternateContent xmlns:mc="http://schemas.openxmlformats.org/markup-compatibility/2006">
          <mc:Choice Requires="x14">
            <control shapeId="9241" r:id="rId28" name="Drop Down 25">
              <controlPr defaultSize="0" autoLine="0" autoPict="0">
                <anchor moveWithCells="1">
                  <from>
                    <xdr:col>1</xdr:col>
                    <xdr:colOff>9525</xdr:colOff>
                    <xdr:row>35</xdr:row>
                    <xdr:rowOff>19050</xdr:rowOff>
                  </from>
                  <to>
                    <xdr:col>1</xdr:col>
                    <xdr:colOff>1924050</xdr:colOff>
                    <xdr:row>35</xdr:row>
                    <xdr:rowOff>219075</xdr:rowOff>
                  </to>
                </anchor>
              </controlPr>
            </control>
          </mc:Choice>
        </mc:AlternateContent>
        <mc:AlternateContent xmlns:mc="http://schemas.openxmlformats.org/markup-compatibility/2006">
          <mc:Choice Requires="x14">
            <control shapeId="9242" r:id="rId29" name="Drop Down 26">
              <controlPr defaultSize="0" autoLine="0" autoPict="0">
                <anchor moveWithCells="1">
                  <from>
                    <xdr:col>1</xdr:col>
                    <xdr:colOff>9525</xdr:colOff>
                    <xdr:row>36</xdr:row>
                    <xdr:rowOff>19050</xdr:rowOff>
                  </from>
                  <to>
                    <xdr:col>1</xdr:col>
                    <xdr:colOff>1924050</xdr:colOff>
                    <xdr:row>36</xdr:row>
                    <xdr:rowOff>219075</xdr:rowOff>
                  </to>
                </anchor>
              </controlPr>
            </control>
          </mc:Choice>
        </mc:AlternateContent>
        <mc:AlternateContent xmlns:mc="http://schemas.openxmlformats.org/markup-compatibility/2006">
          <mc:Choice Requires="x14">
            <control shapeId="9243" r:id="rId30" name="Drop Down 27">
              <controlPr defaultSize="0" autoLine="0" autoPict="0">
                <anchor moveWithCells="1">
                  <from>
                    <xdr:col>1</xdr:col>
                    <xdr:colOff>9525</xdr:colOff>
                    <xdr:row>37</xdr:row>
                    <xdr:rowOff>19050</xdr:rowOff>
                  </from>
                  <to>
                    <xdr:col>1</xdr:col>
                    <xdr:colOff>1924050</xdr:colOff>
                    <xdr:row>37</xdr:row>
                    <xdr:rowOff>219075</xdr:rowOff>
                  </to>
                </anchor>
              </controlPr>
            </control>
          </mc:Choice>
        </mc:AlternateContent>
        <mc:AlternateContent xmlns:mc="http://schemas.openxmlformats.org/markup-compatibility/2006">
          <mc:Choice Requires="x14">
            <control shapeId="9244" r:id="rId31" name="Drop Down 28">
              <controlPr defaultSize="0" autoLine="0" autoPict="0">
                <anchor moveWithCells="1">
                  <from>
                    <xdr:col>1</xdr:col>
                    <xdr:colOff>9525</xdr:colOff>
                    <xdr:row>38</xdr:row>
                    <xdr:rowOff>19050</xdr:rowOff>
                  </from>
                  <to>
                    <xdr:col>1</xdr:col>
                    <xdr:colOff>1924050</xdr:colOff>
                    <xdr:row>38</xdr:row>
                    <xdr:rowOff>219075</xdr:rowOff>
                  </to>
                </anchor>
              </controlPr>
            </control>
          </mc:Choice>
        </mc:AlternateContent>
        <mc:AlternateContent xmlns:mc="http://schemas.openxmlformats.org/markup-compatibility/2006">
          <mc:Choice Requires="x14">
            <control shapeId="9245" r:id="rId32" name="Drop Down 29">
              <controlPr defaultSize="0" autoLine="0" autoPict="0">
                <anchor moveWithCells="1">
                  <from>
                    <xdr:col>1</xdr:col>
                    <xdr:colOff>9525</xdr:colOff>
                    <xdr:row>39</xdr:row>
                    <xdr:rowOff>19050</xdr:rowOff>
                  </from>
                  <to>
                    <xdr:col>1</xdr:col>
                    <xdr:colOff>1924050</xdr:colOff>
                    <xdr:row>39</xdr:row>
                    <xdr:rowOff>219075</xdr:rowOff>
                  </to>
                </anchor>
              </controlPr>
            </control>
          </mc:Choice>
        </mc:AlternateContent>
        <mc:AlternateContent xmlns:mc="http://schemas.openxmlformats.org/markup-compatibility/2006">
          <mc:Choice Requires="x14">
            <control shapeId="9246" r:id="rId33" name="Drop Down 30">
              <controlPr defaultSize="0" autoLine="0" autoPict="0">
                <anchor moveWithCells="1">
                  <from>
                    <xdr:col>1</xdr:col>
                    <xdr:colOff>9525</xdr:colOff>
                    <xdr:row>40</xdr:row>
                    <xdr:rowOff>19050</xdr:rowOff>
                  </from>
                  <to>
                    <xdr:col>1</xdr:col>
                    <xdr:colOff>1924050</xdr:colOff>
                    <xdr:row>40</xdr:row>
                    <xdr:rowOff>219075</xdr:rowOff>
                  </to>
                </anchor>
              </controlPr>
            </control>
          </mc:Choice>
        </mc:AlternateContent>
        <mc:AlternateContent xmlns:mc="http://schemas.openxmlformats.org/markup-compatibility/2006">
          <mc:Choice Requires="x14">
            <control shapeId="9247" r:id="rId34" name="Drop Down 31">
              <controlPr defaultSize="0" autoLine="0" autoPict="0">
                <anchor moveWithCells="1">
                  <from>
                    <xdr:col>1</xdr:col>
                    <xdr:colOff>9525</xdr:colOff>
                    <xdr:row>41</xdr:row>
                    <xdr:rowOff>19050</xdr:rowOff>
                  </from>
                  <to>
                    <xdr:col>1</xdr:col>
                    <xdr:colOff>1924050</xdr:colOff>
                    <xdr:row>41</xdr:row>
                    <xdr:rowOff>219075</xdr:rowOff>
                  </to>
                </anchor>
              </controlPr>
            </control>
          </mc:Choice>
        </mc:AlternateContent>
        <mc:AlternateContent xmlns:mc="http://schemas.openxmlformats.org/markup-compatibility/2006">
          <mc:Choice Requires="x14">
            <control shapeId="9248" r:id="rId35" name="Drop Down 32">
              <controlPr defaultSize="0" autoLine="0" autoPict="0">
                <anchor moveWithCells="1">
                  <from>
                    <xdr:col>1</xdr:col>
                    <xdr:colOff>9525</xdr:colOff>
                    <xdr:row>42</xdr:row>
                    <xdr:rowOff>19050</xdr:rowOff>
                  </from>
                  <to>
                    <xdr:col>1</xdr:col>
                    <xdr:colOff>1924050</xdr:colOff>
                    <xdr:row>42</xdr:row>
                    <xdr:rowOff>219075</xdr:rowOff>
                  </to>
                </anchor>
              </controlPr>
            </control>
          </mc:Choice>
        </mc:AlternateContent>
        <mc:AlternateContent xmlns:mc="http://schemas.openxmlformats.org/markup-compatibility/2006">
          <mc:Choice Requires="x14">
            <control shapeId="9249" r:id="rId36" name="Drop Down 33">
              <controlPr defaultSize="0" autoLine="0" autoPict="0">
                <anchor moveWithCells="1">
                  <from>
                    <xdr:col>1</xdr:col>
                    <xdr:colOff>9525</xdr:colOff>
                    <xdr:row>43</xdr:row>
                    <xdr:rowOff>19050</xdr:rowOff>
                  </from>
                  <to>
                    <xdr:col>1</xdr:col>
                    <xdr:colOff>1924050</xdr:colOff>
                    <xdr:row>43</xdr:row>
                    <xdr:rowOff>219075</xdr:rowOff>
                  </to>
                </anchor>
              </controlPr>
            </control>
          </mc:Choice>
        </mc:AlternateContent>
        <mc:AlternateContent xmlns:mc="http://schemas.openxmlformats.org/markup-compatibility/2006">
          <mc:Choice Requires="x14">
            <control shapeId="9250" r:id="rId37" name="Drop Down 34">
              <controlPr defaultSize="0" autoLine="0" autoPict="0">
                <anchor moveWithCells="1">
                  <from>
                    <xdr:col>1</xdr:col>
                    <xdr:colOff>9525</xdr:colOff>
                    <xdr:row>44</xdr:row>
                    <xdr:rowOff>19050</xdr:rowOff>
                  </from>
                  <to>
                    <xdr:col>1</xdr:col>
                    <xdr:colOff>1924050</xdr:colOff>
                    <xdr:row>44</xdr:row>
                    <xdr:rowOff>219075</xdr:rowOff>
                  </to>
                </anchor>
              </controlPr>
            </control>
          </mc:Choice>
        </mc:AlternateContent>
        <mc:AlternateContent xmlns:mc="http://schemas.openxmlformats.org/markup-compatibility/2006">
          <mc:Choice Requires="x14">
            <control shapeId="9251" r:id="rId38" name="Drop Down 35">
              <controlPr defaultSize="0" autoLine="0" autoPict="0">
                <anchor moveWithCells="1">
                  <from>
                    <xdr:col>1</xdr:col>
                    <xdr:colOff>9525</xdr:colOff>
                    <xdr:row>45</xdr:row>
                    <xdr:rowOff>19050</xdr:rowOff>
                  </from>
                  <to>
                    <xdr:col>1</xdr:col>
                    <xdr:colOff>1924050</xdr:colOff>
                    <xdr:row>45</xdr:row>
                    <xdr:rowOff>219075</xdr:rowOff>
                  </to>
                </anchor>
              </controlPr>
            </control>
          </mc:Choice>
        </mc:AlternateContent>
        <mc:AlternateContent xmlns:mc="http://schemas.openxmlformats.org/markup-compatibility/2006">
          <mc:Choice Requires="x14">
            <control shapeId="9252" r:id="rId39" name="Drop Down 36">
              <controlPr defaultSize="0" autoLine="0" autoPict="0">
                <anchor moveWithCells="1">
                  <from>
                    <xdr:col>1</xdr:col>
                    <xdr:colOff>9525</xdr:colOff>
                    <xdr:row>46</xdr:row>
                    <xdr:rowOff>19050</xdr:rowOff>
                  </from>
                  <to>
                    <xdr:col>1</xdr:col>
                    <xdr:colOff>1924050</xdr:colOff>
                    <xdr:row>46</xdr:row>
                    <xdr:rowOff>219075</xdr:rowOff>
                  </to>
                </anchor>
              </controlPr>
            </control>
          </mc:Choice>
        </mc:AlternateContent>
        <mc:AlternateContent xmlns:mc="http://schemas.openxmlformats.org/markup-compatibility/2006">
          <mc:Choice Requires="x14">
            <control shapeId="9253" r:id="rId40" name="Drop Down 37">
              <controlPr defaultSize="0" autoLine="0" autoPict="0">
                <anchor moveWithCells="1">
                  <from>
                    <xdr:col>1</xdr:col>
                    <xdr:colOff>9525</xdr:colOff>
                    <xdr:row>47</xdr:row>
                    <xdr:rowOff>19050</xdr:rowOff>
                  </from>
                  <to>
                    <xdr:col>1</xdr:col>
                    <xdr:colOff>1924050</xdr:colOff>
                    <xdr:row>47</xdr:row>
                    <xdr:rowOff>219075</xdr:rowOff>
                  </to>
                </anchor>
              </controlPr>
            </control>
          </mc:Choice>
        </mc:AlternateContent>
        <mc:AlternateContent xmlns:mc="http://schemas.openxmlformats.org/markup-compatibility/2006">
          <mc:Choice Requires="x14">
            <control shapeId="9254" r:id="rId41" name="Drop Down 38">
              <controlPr defaultSize="0" autoLine="0" autoPict="0">
                <anchor moveWithCells="1">
                  <from>
                    <xdr:col>1</xdr:col>
                    <xdr:colOff>9525</xdr:colOff>
                    <xdr:row>48</xdr:row>
                    <xdr:rowOff>19050</xdr:rowOff>
                  </from>
                  <to>
                    <xdr:col>1</xdr:col>
                    <xdr:colOff>1924050</xdr:colOff>
                    <xdr:row>48</xdr:row>
                    <xdr:rowOff>219075</xdr:rowOff>
                  </to>
                </anchor>
              </controlPr>
            </control>
          </mc:Choice>
        </mc:AlternateContent>
        <mc:AlternateContent xmlns:mc="http://schemas.openxmlformats.org/markup-compatibility/2006">
          <mc:Choice Requires="x14">
            <control shapeId="9255" r:id="rId42" name="Drop Down 39">
              <controlPr defaultSize="0" autoLine="0" autoPict="0">
                <anchor moveWithCells="1">
                  <from>
                    <xdr:col>1</xdr:col>
                    <xdr:colOff>9525</xdr:colOff>
                    <xdr:row>49</xdr:row>
                    <xdr:rowOff>19050</xdr:rowOff>
                  </from>
                  <to>
                    <xdr:col>1</xdr:col>
                    <xdr:colOff>1924050</xdr:colOff>
                    <xdr:row>49</xdr:row>
                    <xdr:rowOff>219075</xdr:rowOff>
                  </to>
                </anchor>
              </controlPr>
            </control>
          </mc:Choice>
        </mc:AlternateContent>
        <mc:AlternateContent xmlns:mc="http://schemas.openxmlformats.org/markup-compatibility/2006">
          <mc:Choice Requires="x14">
            <control shapeId="9256" r:id="rId43" name="Drop Down 40">
              <controlPr defaultSize="0" autoLine="0" autoPict="0">
                <anchor moveWithCells="1">
                  <from>
                    <xdr:col>1</xdr:col>
                    <xdr:colOff>9525</xdr:colOff>
                    <xdr:row>50</xdr:row>
                    <xdr:rowOff>19050</xdr:rowOff>
                  </from>
                  <to>
                    <xdr:col>1</xdr:col>
                    <xdr:colOff>1924050</xdr:colOff>
                    <xdr:row>50</xdr:row>
                    <xdr:rowOff>219075</xdr:rowOff>
                  </to>
                </anchor>
              </controlPr>
            </control>
          </mc:Choice>
        </mc:AlternateContent>
        <mc:AlternateContent xmlns:mc="http://schemas.openxmlformats.org/markup-compatibility/2006">
          <mc:Choice Requires="x14">
            <control shapeId="9257" r:id="rId44" name="Drop Down 41">
              <controlPr defaultSize="0" autoLine="0" autoPict="0">
                <anchor moveWithCells="1">
                  <from>
                    <xdr:col>1</xdr:col>
                    <xdr:colOff>9525</xdr:colOff>
                    <xdr:row>51</xdr:row>
                    <xdr:rowOff>19050</xdr:rowOff>
                  </from>
                  <to>
                    <xdr:col>1</xdr:col>
                    <xdr:colOff>1924050</xdr:colOff>
                    <xdr:row>51</xdr:row>
                    <xdr:rowOff>219075</xdr:rowOff>
                  </to>
                </anchor>
              </controlPr>
            </control>
          </mc:Choice>
        </mc:AlternateContent>
        <mc:AlternateContent xmlns:mc="http://schemas.openxmlformats.org/markup-compatibility/2006">
          <mc:Choice Requires="x14">
            <control shapeId="9258" r:id="rId45" name="Drop Down 42">
              <controlPr defaultSize="0" autoLine="0" autoPict="0">
                <anchor moveWithCells="1">
                  <from>
                    <xdr:col>1</xdr:col>
                    <xdr:colOff>9525</xdr:colOff>
                    <xdr:row>52</xdr:row>
                    <xdr:rowOff>19050</xdr:rowOff>
                  </from>
                  <to>
                    <xdr:col>1</xdr:col>
                    <xdr:colOff>1924050</xdr:colOff>
                    <xdr:row>52</xdr:row>
                    <xdr:rowOff>219075</xdr:rowOff>
                  </to>
                </anchor>
              </controlPr>
            </control>
          </mc:Choice>
        </mc:AlternateContent>
        <mc:AlternateContent xmlns:mc="http://schemas.openxmlformats.org/markup-compatibility/2006">
          <mc:Choice Requires="x14">
            <control shapeId="9259" r:id="rId46" name="Drop Down 43">
              <controlPr defaultSize="0" autoLine="0" autoPict="0">
                <anchor moveWithCells="1">
                  <from>
                    <xdr:col>1</xdr:col>
                    <xdr:colOff>9525</xdr:colOff>
                    <xdr:row>53</xdr:row>
                    <xdr:rowOff>19050</xdr:rowOff>
                  </from>
                  <to>
                    <xdr:col>1</xdr:col>
                    <xdr:colOff>1924050</xdr:colOff>
                    <xdr:row>53</xdr:row>
                    <xdr:rowOff>219075</xdr:rowOff>
                  </to>
                </anchor>
              </controlPr>
            </control>
          </mc:Choice>
        </mc:AlternateContent>
        <mc:AlternateContent xmlns:mc="http://schemas.openxmlformats.org/markup-compatibility/2006">
          <mc:Choice Requires="x14">
            <control shapeId="9260" r:id="rId47" name="Drop Down 44">
              <controlPr defaultSize="0" autoLine="0" autoPict="0">
                <anchor moveWithCells="1">
                  <from>
                    <xdr:col>1</xdr:col>
                    <xdr:colOff>9525</xdr:colOff>
                    <xdr:row>54</xdr:row>
                    <xdr:rowOff>19050</xdr:rowOff>
                  </from>
                  <to>
                    <xdr:col>1</xdr:col>
                    <xdr:colOff>1924050</xdr:colOff>
                    <xdr:row>54</xdr:row>
                    <xdr:rowOff>219075</xdr:rowOff>
                  </to>
                </anchor>
              </controlPr>
            </control>
          </mc:Choice>
        </mc:AlternateContent>
        <mc:AlternateContent xmlns:mc="http://schemas.openxmlformats.org/markup-compatibility/2006">
          <mc:Choice Requires="x14">
            <control shapeId="9261" r:id="rId48" name="Drop Down 45">
              <controlPr defaultSize="0" autoLine="0" autoPict="0">
                <anchor moveWithCells="1">
                  <from>
                    <xdr:col>1</xdr:col>
                    <xdr:colOff>9525</xdr:colOff>
                    <xdr:row>55</xdr:row>
                    <xdr:rowOff>19050</xdr:rowOff>
                  </from>
                  <to>
                    <xdr:col>1</xdr:col>
                    <xdr:colOff>1924050</xdr:colOff>
                    <xdr:row>55</xdr:row>
                    <xdr:rowOff>219075</xdr:rowOff>
                  </to>
                </anchor>
              </controlPr>
            </control>
          </mc:Choice>
        </mc:AlternateContent>
        <mc:AlternateContent xmlns:mc="http://schemas.openxmlformats.org/markup-compatibility/2006">
          <mc:Choice Requires="x14">
            <control shapeId="9355" r:id="rId49" name="Check Box 139">
              <controlPr defaultSize="0" autoFill="0" autoLine="0" autoPict="0">
                <anchor moveWithCells="1">
                  <from>
                    <xdr:col>10</xdr:col>
                    <xdr:colOff>247650</xdr:colOff>
                    <xdr:row>59</xdr:row>
                    <xdr:rowOff>0</xdr:rowOff>
                  </from>
                  <to>
                    <xdr:col>10</xdr:col>
                    <xdr:colOff>476250</xdr:colOff>
                    <xdr:row>59</xdr:row>
                    <xdr:rowOff>190500</xdr:rowOff>
                  </to>
                </anchor>
              </controlPr>
            </control>
          </mc:Choice>
        </mc:AlternateContent>
      </controls>
    </mc:Choice>
  </mc:AlternateConten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7"/>
  <dimension ref="A1:R112"/>
  <sheetViews>
    <sheetView showGridLines="0" zoomScaleNormal="100" workbookViewId="0">
      <selection activeCell="C12" sqref="C12:C56"/>
    </sheetView>
  </sheetViews>
  <sheetFormatPr defaultRowHeight="12.75" x14ac:dyDescent="0.2"/>
  <cols>
    <col min="1" max="1" width="3.7109375" customWidth="1"/>
    <col min="2" max="2" width="29.28515625" customWidth="1"/>
    <col min="3" max="3" width="5.28515625" hidden="1" customWidth="1"/>
    <col min="4" max="4" width="4.7109375" customWidth="1"/>
    <col min="5" max="6" width="16" customWidth="1"/>
    <col min="7" max="7" width="10.7109375" customWidth="1"/>
    <col min="8" max="8" width="6" customWidth="1"/>
    <col min="9" max="9" width="10.7109375" customWidth="1"/>
    <col min="10" max="10" width="6" customWidth="1"/>
    <col min="11" max="11" width="10.7109375" customWidth="1"/>
    <col min="12" max="12" width="6" customWidth="1"/>
    <col min="13" max="13" width="9.7109375" customWidth="1"/>
    <col min="14" max="14" width="3.28515625" hidden="1" customWidth="1"/>
    <col min="15" max="15" width="11.28515625" customWidth="1"/>
    <col min="16" max="16" width="10.7109375" customWidth="1"/>
    <col min="17" max="17" width="5.7109375" customWidth="1"/>
    <col min="18" max="18" width="10.7109375" customWidth="1"/>
    <col min="19" max="19" width="12.7109375" customWidth="1"/>
  </cols>
  <sheetData>
    <row r="1" spans="1:18" ht="26.1" customHeight="1" x14ac:dyDescent="0.4">
      <c r="A1" s="1372" t="s">
        <v>372</v>
      </c>
      <c r="B1" s="1540"/>
      <c r="C1" s="216"/>
      <c r="D1" s="1541" t="s">
        <v>364</v>
      </c>
      <c r="E1" s="1374"/>
      <c r="F1" s="1374"/>
      <c r="G1" s="1374"/>
      <c r="H1" s="1374"/>
      <c r="I1" s="1374"/>
      <c r="J1" s="1374"/>
      <c r="K1" s="1542"/>
      <c r="L1" s="1380">
        <f>IF('Complete This Page'!G11="",YEAR('Complete This Page'!H11),'Complete This Page'!G11)</f>
        <v>2018</v>
      </c>
      <c r="M1" s="1381"/>
      <c r="O1" s="171"/>
      <c r="P1" s="171"/>
      <c r="Q1" s="171"/>
      <c r="R1" s="171"/>
    </row>
    <row r="2" spans="1:18" ht="11.25" customHeight="1" x14ac:dyDescent="0.2">
      <c r="A2" s="1545" t="s">
        <v>159</v>
      </c>
      <c r="B2" s="1546"/>
      <c r="C2" s="217"/>
      <c r="D2" s="1543"/>
      <c r="E2" s="1375"/>
      <c r="F2" s="1375"/>
      <c r="G2" s="1375"/>
      <c r="H2" s="1375"/>
      <c r="I2" s="1375"/>
      <c r="J2" s="1375"/>
      <c r="K2" s="1544"/>
      <c r="L2" s="1382" t="str">
        <f>+'Complete This Page'!J1</f>
        <v>NPAC v2018.0</v>
      </c>
      <c r="M2" s="1383"/>
      <c r="O2" s="786"/>
      <c r="P2" s="171"/>
      <c r="Q2" s="171"/>
      <c r="R2" s="171"/>
    </row>
    <row r="3" spans="1:18" x14ac:dyDescent="0.2">
      <c r="A3" s="1" t="s">
        <v>467</v>
      </c>
      <c r="B3" s="61"/>
      <c r="C3" s="61"/>
      <c r="D3" s="61"/>
      <c r="E3" s="61"/>
      <c r="F3" s="61"/>
      <c r="G3" s="61"/>
      <c r="H3" s="61"/>
      <c r="I3" s="199"/>
      <c r="J3" s="334"/>
      <c r="K3" s="335" t="s">
        <v>466</v>
      </c>
      <c r="L3" s="1"/>
      <c r="M3" s="1"/>
      <c r="O3" s="171"/>
      <c r="P3" s="171"/>
      <c r="Q3" s="171"/>
      <c r="R3" s="171"/>
    </row>
    <row r="4" spans="1:18" ht="18" x14ac:dyDescent="0.25">
      <c r="A4" s="25"/>
      <c r="B4" s="1377">
        <f>'Complete This Page'!B3</f>
        <v>0</v>
      </c>
      <c r="C4" s="1377"/>
      <c r="D4" s="1377"/>
      <c r="E4" s="1377"/>
      <c r="F4" s="1377"/>
      <c r="G4" s="1377"/>
      <c r="H4" s="1377"/>
      <c r="I4" s="1377"/>
      <c r="J4" s="1378"/>
      <c r="K4" s="1350">
        <f>'Complete This Page'!G3</f>
        <v>0</v>
      </c>
      <c r="L4" s="1351"/>
      <c r="M4" s="1351"/>
      <c r="O4" s="786"/>
      <c r="P4" s="171"/>
      <c r="Q4" s="171"/>
      <c r="R4" s="171"/>
    </row>
    <row r="5" spans="1:18" s="7" customFormat="1" ht="8.25" x14ac:dyDescent="0.15">
      <c r="L5" s="8"/>
      <c r="M5" s="603"/>
      <c r="O5" s="604"/>
      <c r="P5" s="604"/>
      <c r="Q5" s="604"/>
      <c r="R5" s="604"/>
    </row>
    <row r="6" spans="1:18" x14ac:dyDescent="0.2">
      <c r="B6" s="1550" t="s">
        <v>314</v>
      </c>
      <c r="E6" s="1526" t="s">
        <v>628</v>
      </c>
      <c r="F6" s="1527"/>
      <c r="G6" s="674">
        <f>IF(Overflow!G6="","",Overflow!G6)</f>
        <v>0</v>
      </c>
      <c r="I6" s="1534" t="s">
        <v>631</v>
      </c>
      <c r="J6" s="1535"/>
      <c r="K6" s="675">
        <f>IF(Overflow!K6="","",Overflow!K6)</f>
        <v>0</v>
      </c>
      <c r="L6" s="320"/>
      <c r="N6" s="340">
        <f>IF(G8&gt;0,1,0)</f>
        <v>0</v>
      </c>
      <c r="O6" s="171"/>
      <c r="P6" s="171"/>
      <c r="Q6" s="171"/>
      <c r="R6" s="171"/>
    </row>
    <row r="7" spans="1:18" x14ac:dyDescent="0.2">
      <c r="B7" s="1551"/>
      <c r="D7" s="329"/>
      <c r="E7" s="1528" t="s">
        <v>629</v>
      </c>
      <c r="F7" s="1529"/>
      <c r="G7" s="674">
        <f>IF(Overflow!G7="","",Overflow!G7)</f>
        <v>0</v>
      </c>
      <c r="H7" s="321"/>
      <c r="I7" s="333"/>
      <c r="J7" s="321"/>
      <c r="K7" s="320"/>
      <c r="L7" s="320"/>
      <c r="N7" s="340">
        <f>IF(K6&gt;0,1,0)</f>
        <v>0</v>
      </c>
      <c r="O7" s="171"/>
      <c r="P7" s="342"/>
      <c r="Q7" s="342"/>
      <c r="R7" s="343"/>
    </row>
    <row r="8" spans="1:18" x14ac:dyDescent="0.2">
      <c r="B8" s="1551"/>
      <c r="D8" s="329"/>
      <c r="E8" s="1532" t="s">
        <v>630</v>
      </c>
      <c r="F8" s="1533"/>
      <c r="G8" s="599">
        <f>SUM(G6:G7)</f>
        <v>0</v>
      </c>
      <c r="H8" s="321"/>
      <c r="I8" s="1536" t="s">
        <v>632</v>
      </c>
      <c r="J8" s="1537"/>
      <c r="K8" s="675">
        <f>IF(Overflow!K8="","",Overflow!K8)</f>
        <v>0</v>
      </c>
      <c r="N8" s="340">
        <f>IF(K8&gt;0,1,0)</f>
        <v>0</v>
      </c>
      <c r="O8" s="171"/>
      <c r="P8" s="171"/>
      <c r="Q8" s="171"/>
      <c r="R8" s="171"/>
    </row>
    <row r="9" spans="1:18" s="7" customFormat="1" ht="11.25" customHeight="1" x14ac:dyDescent="0.15">
      <c r="N9" s="605">
        <f>SUM(N6:N8)</f>
        <v>0</v>
      </c>
      <c r="O9" s="604"/>
      <c r="P9" s="604"/>
      <c r="Q9" s="604"/>
      <c r="R9" s="604"/>
    </row>
    <row r="10" spans="1:18" s="1" customFormat="1" ht="11.25" x14ac:dyDescent="0.2">
      <c r="B10" s="322"/>
      <c r="D10" s="1547" t="s">
        <v>588</v>
      </c>
      <c r="E10" s="1530" t="s">
        <v>621</v>
      </c>
      <c r="F10" s="1531"/>
      <c r="G10" s="1531"/>
      <c r="H10" s="1538"/>
      <c r="I10" s="1530" t="s">
        <v>627</v>
      </c>
      <c r="J10" s="1531"/>
      <c r="K10" s="1006" t="s">
        <v>1670</v>
      </c>
      <c r="L10" s="1007"/>
      <c r="M10" s="21" t="s">
        <v>620</v>
      </c>
      <c r="O10" s="344"/>
      <c r="P10" s="344"/>
      <c r="Q10" s="344"/>
      <c r="R10" s="344"/>
    </row>
    <row r="11" spans="1:18" x14ac:dyDescent="0.2">
      <c r="B11" s="323" t="s">
        <v>618</v>
      </c>
      <c r="C11" s="324" t="s">
        <v>164</v>
      </c>
      <c r="D11" s="1548"/>
      <c r="E11" s="22" t="s">
        <v>622</v>
      </c>
      <c r="F11" s="22" t="s">
        <v>623</v>
      </c>
      <c r="G11" s="22" t="s">
        <v>624</v>
      </c>
      <c r="H11" s="22" t="s">
        <v>625</v>
      </c>
      <c r="I11" s="22" t="s">
        <v>619</v>
      </c>
      <c r="J11" s="22" t="s">
        <v>625</v>
      </c>
      <c r="K11" s="22" t="s">
        <v>626</v>
      </c>
      <c r="L11" s="22" t="s">
        <v>625</v>
      </c>
      <c r="M11" s="22"/>
      <c r="O11" s="171"/>
      <c r="P11" s="171"/>
      <c r="Q11" s="171"/>
      <c r="R11" s="171"/>
    </row>
    <row r="12" spans="1:18" ht="18" customHeight="1" x14ac:dyDescent="0.2">
      <c r="A12" s="325">
        <v>91</v>
      </c>
      <c r="B12" s="318"/>
      <c r="C12" s="326">
        <v>1</v>
      </c>
      <c r="D12" s="327">
        <f>LOOKUP(C12,Cities!A$3:A$343,Cities!B$3:B$343)</f>
        <v>0</v>
      </c>
      <c r="E12" s="332">
        <v>0</v>
      </c>
      <c r="F12" s="332">
        <v>0</v>
      </c>
      <c r="G12" s="331">
        <f t="shared" ref="G12:G56" si="0">+E12+F12</f>
        <v>0</v>
      </c>
      <c r="H12" s="914" t="str">
        <f t="shared" ref="H12:H56" si="1">IF(G$8&gt;0,ROUND(G12/G$8,6),"n/a")</f>
        <v>n/a</v>
      </c>
      <c r="I12" s="332">
        <v>0</v>
      </c>
      <c r="J12" s="914" t="str">
        <f>IF(Overflow!K$6&gt;0,ROUND(I12/Overflow!K$6,6),"n/a")</f>
        <v>n/a</v>
      </c>
      <c r="K12" s="332">
        <v>0</v>
      </c>
      <c r="L12" s="914" t="str">
        <f>IF(Overflow!K$8&gt;0,ROUND(K12/Overflow!K$8,6),"n/a")</f>
        <v>n/a</v>
      </c>
      <c r="M12" s="330">
        <f>IF(Overflow!G$8+Overflow!K$6+Overflow!K$8=0,0,ROUND((IF(H12="n/a",0,H12)+IF(J12="n/a",0,J12)+IF(L12="n/a",0,L12))/N$9,6))</f>
        <v>0</v>
      </c>
      <c r="O12" s="785">
        <f>LOOKUP(C12,Cities!A$3:A$343,Cities!AA$3:AA$343)</f>
        <v>0</v>
      </c>
      <c r="P12" s="171"/>
      <c r="Q12" s="171"/>
      <c r="R12" s="171"/>
    </row>
    <row r="13" spans="1:18" ht="18" customHeight="1" x14ac:dyDescent="0.2">
      <c r="A13" s="325">
        <v>92</v>
      </c>
      <c r="B13" s="318"/>
      <c r="C13" s="326">
        <v>1</v>
      </c>
      <c r="D13" s="327">
        <f>LOOKUP(C13,Cities!A$3:A$343,Cities!B$3:B$343)</f>
        <v>0</v>
      </c>
      <c r="E13" s="332">
        <v>0</v>
      </c>
      <c r="F13" s="332">
        <v>0</v>
      </c>
      <c r="G13" s="331">
        <f t="shared" si="0"/>
        <v>0</v>
      </c>
      <c r="H13" s="914" t="str">
        <f t="shared" si="1"/>
        <v>n/a</v>
      </c>
      <c r="I13" s="332">
        <v>0</v>
      </c>
      <c r="J13" s="914" t="str">
        <f>IF(Overflow!K$6&gt;0,ROUND(I13/Overflow!K$6,6),"n/a")</f>
        <v>n/a</v>
      </c>
      <c r="K13" s="332">
        <v>0</v>
      </c>
      <c r="L13" s="914" t="str">
        <f>IF(Overflow!K$8&gt;0,ROUND(K13/Overflow!K$8,6),"n/a")</f>
        <v>n/a</v>
      </c>
      <c r="M13" s="330">
        <f>IF(Overflow!G$8+Overflow!K$6+Overflow!K$8=0,0,ROUND((IF(H13="n/a",0,H13)+IF(J13="n/a",0,J13)+IF(L13="n/a",0,L13))/N$9,6))</f>
        <v>0</v>
      </c>
      <c r="O13" s="785">
        <f>LOOKUP(C13,Cities!A$3:A$343,Cities!AA$3:AA$343)</f>
        <v>0</v>
      </c>
      <c r="P13" s="171"/>
      <c r="Q13" s="171"/>
      <c r="R13" s="171"/>
    </row>
    <row r="14" spans="1:18" ht="18" customHeight="1" x14ac:dyDescent="0.2">
      <c r="A14" s="325">
        <v>93</v>
      </c>
      <c r="B14" s="318"/>
      <c r="C14" s="326">
        <v>1</v>
      </c>
      <c r="D14" s="327">
        <f>LOOKUP(C14,Cities!A$3:A$343,Cities!B$3:B$343)</f>
        <v>0</v>
      </c>
      <c r="E14" s="332">
        <v>0</v>
      </c>
      <c r="F14" s="332">
        <v>0</v>
      </c>
      <c r="G14" s="331">
        <f t="shared" si="0"/>
        <v>0</v>
      </c>
      <c r="H14" s="914" t="str">
        <f t="shared" si="1"/>
        <v>n/a</v>
      </c>
      <c r="I14" s="332">
        <v>0</v>
      </c>
      <c r="J14" s="914" t="str">
        <f>IF(Overflow!K$6&gt;0,ROUND(I14/Overflow!K$6,6),"n/a")</f>
        <v>n/a</v>
      </c>
      <c r="K14" s="332">
        <v>0</v>
      </c>
      <c r="L14" s="914" t="str">
        <f>IF(Overflow!K$8&gt;0,ROUND(K14/Overflow!K$8,6),"n/a")</f>
        <v>n/a</v>
      </c>
      <c r="M14" s="330">
        <f>IF(Overflow!G$8+Overflow!K$6+Overflow!K$8=0,0,ROUND((IF(H14="n/a",0,H14)+IF(J14="n/a",0,J14)+IF(L14="n/a",0,L14))/N$9,6))</f>
        <v>0</v>
      </c>
      <c r="O14" s="785">
        <f>LOOKUP(C14,Cities!A$3:A$343,Cities!AA$3:AA$343)</f>
        <v>0</v>
      </c>
      <c r="P14" s="171"/>
      <c r="Q14" s="171"/>
      <c r="R14" s="171"/>
    </row>
    <row r="15" spans="1:18" ht="18" customHeight="1" x14ac:dyDescent="0.2">
      <c r="A15" s="325">
        <v>94</v>
      </c>
      <c r="B15" s="318"/>
      <c r="C15" s="326">
        <v>1</v>
      </c>
      <c r="D15" s="327">
        <f>LOOKUP(C15,Cities!A$3:A$343,Cities!B$3:B$343)</f>
        <v>0</v>
      </c>
      <c r="E15" s="332">
        <v>0</v>
      </c>
      <c r="F15" s="332">
        <v>0</v>
      </c>
      <c r="G15" s="331">
        <f t="shared" si="0"/>
        <v>0</v>
      </c>
      <c r="H15" s="914" t="str">
        <f t="shared" si="1"/>
        <v>n/a</v>
      </c>
      <c r="I15" s="332">
        <v>0</v>
      </c>
      <c r="J15" s="914" t="str">
        <f>IF(Overflow!K$6&gt;0,ROUND(I15/Overflow!K$6,6),"n/a")</f>
        <v>n/a</v>
      </c>
      <c r="K15" s="332">
        <v>0</v>
      </c>
      <c r="L15" s="914" t="str">
        <f>IF(Overflow!K$8&gt;0,ROUND(K15/Overflow!K$8,6),"n/a")</f>
        <v>n/a</v>
      </c>
      <c r="M15" s="330">
        <f>IF(Overflow!G$8+Overflow!K$6+Overflow!K$8=0,0,ROUND((IF(H15="n/a",0,H15)+IF(J15="n/a",0,J15)+IF(L15="n/a",0,L15))/N$9,6))</f>
        <v>0</v>
      </c>
      <c r="O15" s="785">
        <f>LOOKUP(C15,Cities!A$3:A$343,Cities!AA$3:AA$343)</f>
        <v>0</v>
      </c>
      <c r="P15" s="171"/>
      <c r="Q15" s="171"/>
      <c r="R15" s="171"/>
    </row>
    <row r="16" spans="1:18" ht="18" customHeight="1" x14ac:dyDescent="0.2">
      <c r="A16" s="325">
        <v>95</v>
      </c>
      <c r="B16" s="318"/>
      <c r="C16" s="326">
        <v>1</v>
      </c>
      <c r="D16" s="327">
        <f>LOOKUP(C16,Cities!A$3:A$343,Cities!B$3:B$343)</f>
        <v>0</v>
      </c>
      <c r="E16" s="332">
        <v>0</v>
      </c>
      <c r="F16" s="332">
        <v>0</v>
      </c>
      <c r="G16" s="331">
        <f t="shared" si="0"/>
        <v>0</v>
      </c>
      <c r="H16" s="914" t="str">
        <f t="shared" si="1"/>
        <v>n/a</v>
      </c>
      <c r="I16" s="332">
        <v>0</v>
      </c>
      <c r="J16" s="914" t="str">
        <f>IF(Overflow!K$6&gt;0,ROUND(I16/Overflow!K$6,6),"n/a")</f>
        <v>n/a</v>
      </c>
      <c r="K16" s="332">
        <v>0</v>
      </c>
      <c r="L16" s="914" t="str">
        <f>IF(Overflow!K$8&gt;0,ROUND(K16/Overflow!K$8,6),"n/a")</f>
        <v>n/a</v>
      </c>
      <c r="M16" s="330">
        <f>IF(Overflow!G$8+Overflow!K$6+Overflow!K$8=0,0,ROUND((IF(H16="n/a",0,H16)+IF(J16="n/a",0,J16)+IF(L16="n/a",0,L16))/N$9,6))</f>
        <v>0</v>
      </c>
      <c r="O16" s="785">
        <f>LOOKUP(C16,Cities!A$3:A$343,Cities!AA$3:AA$343)</f>
        <v>0</v>
      </c>
      <c r="P16" s="171"/>
      <c r="Q16" s="171"/>
      <c r="R16" s="171"/>
    </row>
    <row r="17" spans="1:18" ht="18" customHeight="1" x14ac:dyDescent="0.2">
      <c r="A17" s="325">
        <v>96</v>
      </c>
      <c r="B17" s="318"/>
      <c r="C17" s="326">
        <v>1</v>
      </c>
      <c r="D17" s="327">
        <f>LOOKUP(C17,Cities!A$3:A$343,Cities!B$3:B$343)</f>
        <v>0</v>
      </c>
      <c r="E17" s="332">
        <v>0</v>
      </c>
      <c r="F17" s="332">
        <v>0</v>
      </c>
      <c r="G17" s="331">
        <f t="shared" si="0"/>
        <v>0</v>
      </c>
      <c r="H17" s="914" t="str">
        <f t="shared" si="1"/>
        <v>n/a</v>
      </c>
      <c r="I17" s="332">
        <v>0</v>
      </c>
      <c r="J17" s="914" t="str">
        <f>IF(Overflow!K$6&gt;0,ROUND(I17/Overflow!K$6,6),"n/a")</f>
        <v>n/a</v>
      </c>
      <c r="K17" s="332">
        <v>0</v>
      </c>
      <c r="L17" s="914" t="str">
        <f>IF(Overflow!K$8&gt;0,ROUND(K17/Overflow!K$8,6),"n/a")</f>
        <v>n/a</v>
      </c>
      <c r="M17" s="330">
        <f>IF(Overflow!G$8+Overflow!K$6+Overflow!K$8=0,0,ROUND((IF(H17="n/a",0,H17)+IF(J17="n/a",0,J17)+IF(L17="n/a",0,L17))/N$9,6))</f>
        <v>0</v>
      </c>
      <c r="O17" s="785">
        <f>LOOKUP(C17,Cities!A$3:A$343,Cities!AA$3:AA$343)</f>
        <v>0</v>
      </c>
      <c r="P17" s="171"/>
      <c r="Q17" s="171"/>
      <c r="R17" s="171"/>
    </row>
    <row r="18" spans="1:18" ht="18" customHeight="1" x14ac:dyDescent="0.2">
      <c r="A18" s="325">
        <v>97</v>
      </c>
      <c r="B18" s="318"/>
      <c r="C18" s="326">
        <v>1</v>
      </c>
      <c r="D18" s="327">
        <f>LOOKUP(C18,Cities!A$3:A$343,Cities!B$3:B$343)</f>
        <v>0</v>
      </c>
      <c r="E18" s="332">
        <v>0</v>
      </c>
      <c r="F18" s="332">
        <v>0</v>
      </c>
      <c r="G18" s="331">
        <f t="shared" si="0"/>
        <v>0</v>
      </c>
      <c r="H18" s="914" t="str">
        <f t="shared" si="1"/>
        <v>n/a</v>
      </c>
      <c r="I18" s="332">
        <v>0</v>
      </c>
      <c r="J18" s="914" t="str">
        <f>IF(Overflow!K$6&gt;0,ROUND(I18/Overflow!K$6,6),"n/a")</f>
        <v>n/a</v>
      </c>
      <c r="K18" s="332">
        <v>0</v>
      </c>
      <c r="L18" s="914" t="str">
        <f>IF(Overflow!K$8&gt;0,ROUND(K18/Overflow!K$8,6),"n/a")</f>
        <v>n/a</v>
      </c>
      <c r="M18" s="330">
        <f>IF(Overflow!G$8+Overflow!K$6+Overflow!K$8=0,0,ROUND((IF(H18="n/a",0,H18)+IF(J18="n/a",0,J18)+IF(L18="n/a",0,L18))/N$9,6))</f>
        <v>0</v>
      </c>
      <c r="O18" s="785">
        <f>LOOKUP(C18,Cities!A$3:A$343,Cities!AA$3:AA$343)</f>
        <v>0</v>
      </c>
      <c r="P18" s="171"/>
      <c r="Q18" s="171"/>
      <c r="R18" s="171"/>
    </row>
    <row r="19" spans="1:18" ht="18" customHeight="1" x14ac:dyDescent="0.2">
      <c r="A19" s="325">
        <v>98</v>
      </c>
      <c r="B19" s="318"/>
      <c r="C19" s="326">
        <v>1</v>
      </c>
      <c r="D19" s="327">
        <f>LOOKUP(C19,Cities!A$3:A$343,Cities!B$3:B$343)</f>
        <v>0</v>
      </c>
      <c r="E19" s="332">
        <v>0</v>
      </c>
      <c r="F19" s="332">
        <v>0</v>
      </c>
      <c r="G19" s="331">
        <f t="shared" si="0"/>
        <v>0</v>
      </c>
      <c r="H19" s="914" t="str">
        <f t="shared" si="1"/>
        <v>n/a</v>
      </c>
      <c r="I19" s="332">
        <v>0</v>
      </c>
      <c r="J19" s="914" t="str">
        <f>IF(Overflow!K$6&gt;0,ROUND(I19/Overflow!K$6,6),"n/a")</f>
        <v>n/a</v>
      </c>
      <c r="K19" s="332">
        <v>0</v>
      </c>
      <c r="L19" s="914" t="str">
        <f>IF(Overflow!K$8&gt;0,ROUND(K19/Overflow!K$8,6),"n/a")</f>
        <v>n/a</v>
      </c>
      <c r="M19" s="330">
        <f>IF(Overflow!G$8+Overflow!K$6+Overflow!K$8=0,0,ROUND((IF(H19="n/a",0,H19)+IF(J19="n/a",0,J19)+IF(L19="n/a",0,L19))/N$9,6))</f>
        <v>0</v>
      </c>
      <c r="O19" s="785">
        <f>LOOKUP(C19,Cities!A$3:A$343,Cities!AA$3:AA$343)</f>
        <v>0</v>
      </c>
      <c r="P19" s="171"/>
      <c r="Q19" s="171"/>
      <c r="R19" s="171"/>
    </row>
    <row r="20" spans="1:18" ht="18" customHeight="1" x14ac:dyDescent="0.2">
      <c r="A20" s="325">
        <v>99</v>
      </c>
      <c r="B20" s="318"/>
      <c r="C20" s="326">
        <v>1</v>
      </c>
      <c r="D20" s="327">
        <f>LOOKUP(C20,Cities!A$3:A$343,Cities!B$3:B$343)</f>
        <v>0</v>
      </c>
      <c r="E20" s="332">
        <v>0</v>
      </c>
      <c r="F20" s="332">
        <v>0</v>
      </c>
      <c r="G20" s="331">
        <f t="shared" si="0"/>
        <v>0</v>
      </c>
      <c r="H20" s="914" t="str">
        <f t="shared" si="1"/>
        <v>n/a</v>
      </c>
      <c r="I20" s="332">
        <v>0</v>
      </c>
      <c r="J20" s="914" t="str">
        <f>IF(Overflow!K$6&gt;0,ROUND(I20/Overflow!K$6,6),"n/a")</f>
        <v>n/a</v>
      </c>
      <c r="K20" s="332">
        <v>0</v>
      </c>
      <c r="L20" s="914" t="str">
        <f>IF(Overflow!K$8&gt;0,ROUND(K20/Overflow!K$8,6),"n/a")</f>
        <v>n/a</v>
      </c>
      <c r="M20" s="330">
        <f>IF(Overflow!G$8+Overflow!K$6+Overflow!K$8=0,0,ROUND((IF(H20="n/a",0,H20)+IF(J20="n/a",0,J20)+IF(L20="n/a",0,L20))/N$9,6))</f>
        <v>0</v>
      </c>
      <c r="O20" s="785">
        <f>LOOKUP(C20,Cities!A$3:A$343,Cities!AA$3:AA$343)</f>
        <v>0</v>
      </c>
      <c r="P20" s="171"/>
      <c r="Q20" s="171"/>
      <c r="R20" s="171"/>
    </row>
    <row r="21" spans="1:18" ht="18" customHeight="1" x14ac:dyDescent="0.2">
      <c r="A21" s="325">
        <v>100</v>
      </c>
      <c r="B21" s="318"/>
      <c r="C21" s="326">
        <v>1</v>
      </c>
      <c r="D21" s="327">
        <f>LOOKUP(C21,Cities!A$3:A$343,Cities!B$3:B$343)</f>
        <v>0</v>
      </c>
      <c r="E21" s="332">
        <v>0</v>
      </c>
      <c r="F21" s="332">
        <v>0</v>
      </c>
      <c r="G21" s="331">
        <f t="shared" si="0"/>
        <v>0</v>
      </c>
      <c r="H21" s="914" t="str">
        <f t="shared" si="1"/>
        <v>n/a</v>
      </c>
      <c r="I21" s="332">
        <v>0</v>
      </c>
      <c r="J21" s="914" t="str">
        <f>IF(Overflow!K$6&gt;0,ROUND(I21/Overflow!K$6,6),"n/a")</f>
        <v>n/a</v>
      </c>
      <c r="K21" s="332">
        <v>0</v>
      </c>
      <c r="L21" s="914" t="str">
        <f>IF(Overflow!K$8&gt;0,ROUND(K21/Overflow!K$8,6),"n/a")</f>
        <v>n/a</v>
      </c>
      <c r="M21" s="330">
        <f>IF(Overflow!G$8+Overflow!K$6+Overflow!K$8=0,0,ROUND((IF(H21="n/a",0,H21)+IF(J21="n/a",0,J21)+IF(L21="n/a",0,L21))/N$9,6))</f>
        <v>0</v>
      </c>
      <c r="O21" s="785">
        <f>LOOKUP(C21,Cities!A$3:A$343,Cities!AA$3:AA$343)</f>
        <v>0</v>
      </c>
      <c r="P21" s="171"/>
      <c r="Q21" s="171"/>
      <c r="R21" s="171"/>
    </row>
    <row r="22" spans="1:18" ht="18" customHeight="1" x14ac:dyDescent="0.2">
      <c r="A22" s="325">
        <v>101</v>
      </c>
      <c r="B22" s="318"/>
      <c r="C22" s="326">
        <v>1</v>
      </c>
      <c r="D22" s="327">
        <f>LOOKUP(C22,Cities!A$3:A$343,Cities!B$3:B$343)</f>
        <v>0</v>
      </c>
      <c r="E22" s="332">
        <v>0</v>
      </c>
      <c r="F22" s="332">
        <v>0</v>
      </c>
      <c r="G22" s="331">
        <f t="shared" si="0"/>
        <v>0</v>
      </c>
      <c r="H22" s="914" t="str">
        <f t="shared" si="1"/>
        <v>n/a</v>
      </c>
      <c r="I22" s="332">
        <v>0</v>
      </c>
      <c r="J22" s="914" t="str">
        <f>IF(Overflow!K$6&gt;0,ROUND(I22/Overflow!K$6,6),"n/a")</f>
        <v>n/a</v>
      </c>
      <c r="K22" s="332">
        <v>0</v>
      </c>
      <c r="L22" s="914" t="str">
        <f>IF(Overflow!K$8&gt;0,ROUND(K22/Overflow!K$8,6),"n/a")</f>
        <v>n/a</v>
      </c>
      <c r="M22" s="330">
        <f>IF(Overflow!G$8+Overflow!K$6+Overflow!K$8=0,0,ROUND((IF(H22="n/a",0,H22)+IF(J22="n/a",0,J22)+IF(L22="n/a",0,L22))/N$9,6))</f>
        <v>0</v>
      </c>
      <c r="O22" s="785">
        <f>LOOKUP(C22,Cities!A$3:A$343,Cities!AA$3:AA$343)</f>
        <v>0</v>
      </c>
      <c r="P22" s="171"/>
      <c r="Q22" s="171"/>
      <c r="R22" s="171"/>
    </row>
    <row r="23" spans="1:18" ht="18" customHeight="1" x14ac:dyDescent="0.2">
      <c r="A23" s="325">
        <v>102</v>
      </c>
      <c r="B23" s="318"/>
      <c r="C23" s="326">
        <v>1</v>
      </c>
      <c r="D23" s="327">
        <f>LOOKUP(C23,Cities!A$3:A$343,Cities!B$3:B$343)</f>
        <v>0</v>
      </c>
      <c r="E23" s="332">
        <v>0</v>
      </c>
      <c r="F23" s="332">
        <v>0</v>
      </c>
      <c r="G23" s="331">
        <f t="shared" si="0"/>
        <v>0</v>
      </c>
      <c r="H23" s="914" t="str">
        <f t="shared" si="1"/>
        <v>n/a</v>
      </c>
      <c r="I23" s="332">
        <v>0</v>
      </c>
      <c r="J23" s="914" t="str">
        <f>IF(Overflow!K$6&gt;0,ROUND(I23/Overflow!K$6,6),"n/a")</f>
        <v>n/a</v>
      </c>
      <c r="K23" s="332">
        <v>0</v>
      </c>
      <c r="L23" s="914" t="str">
        <f>IF(Overflow!K$8&gt;0,ROUND(K23/Overflow!K$8,6),"n/a")</f>
        <v>n/a</v>
      </c>
      <c r="M23" s="330">
        <f>IF(Overflow!G$8+Overflow!K$6+Overflow!K$8=0,0,ROUND((IF(H23="n/a",0,H23)+IF(J23="n/a",0,J23)+IF(L23="n/a",0,L23))/N$9,6))</f>
        <v>0</v>
      </c>
      <c r="O23" s="785">
        <f>LOOKUP(C23,Cities!A$3:A$343,Cities!AA$3:AA$343)</f>
        <v>0</v>
      </c>
      <c r="P23" s="171"/>
      <c r="Q23" s="171"/>
      <c r="R23" s="171"/>
    </row>
    <row r="24" spans="1:18" ht="18" customHeight="1" x14ac:dyDescent="0.2">
      <c r="A24" s="325">
        <v>103</v>
      </c>
      <c r="B24" s="318"/>
      <c r="C24" s="326">
        <v>1</v>
      </c>
      <c r="D24" s="327">
        <f>LOOKUP(C24,Cities!A$3:A$343,Cities!B$3:B$343)</f>
        <v>0</v>
      </c>
      <c r="E24" s="332">
        <v>0</v>
      </c>
      <c r="F24" s="332">
        <v>0</v>
      </c>
      <c r="G24" s="331">
        <f t="shared" si="0"/>
        <v>0</v>
      </c>
      <c r="H24" s="914" t="str">
        <f t="shared" si="1"/>
        <v>n/a</v>
      </c>
      <c r="I24" s="332">
        <v>0</v>
      </c>
      <c r="J24" s="914" t="str">
        <f>IF(Overflow!K$6&gt;0,ROUND(I24/Overflow!K$6,6),"n/a")</f>
        <v>n/a</v>
      </c>
      <c r="K24" s="332">
        <v>0</v>
      </c>
      <c r="L24" s="914" t="str">
        <f>IF(Overflow!K$8&gt;0,ROUND(K24/Overflow!K$8,6),"n/a")</f>
        <v>n/a</v>
      </c>
      <c r="M24" s="330">
        <f>IF(Overflow!G$8+Overflow!K$6+Overflow!K$8=0,0,ROUND((IF(H24="n/a",0,H24)+IF(J24="n/a",0,J24)+IF(L24="n/a",0,L24))/N$9,6))</f>
        <v>0</v>
      </c>
      <c r="O24" s="785">
        <f>LOOKUP(C24,Cities!A$3:A$343,Cities!AA$3:AA$343)</f>
        <v>0</v>
      </c>
      <c r="P24" s="171"/>
      <c r="Q24" s="171"/>
      <c r="R24" s="171"/>
    </row>
    <row r="25" spans="1:18" ht="18" customHeight="1" x14ac:dyDescent="0.2">
      <c r="A25" s="325">
        <v>104</v>
      </c>
      <c r="B25" s="318"/>
      <c r="C25" s="326">
        <v>1</v>
      </c>
      <c r="D25" s="327">
        <f>LOOKUP(C25,Cities!A$3:A$343,Cities!B$3:B$343)</f>
        <v>0</v>
      </c>
      <c r="E25" s="332">
        <v>0</v>
      </c>
      <c r="F25" s="332">
        <v>0</v>
      </c>
      <c r="G25" s="331">
        <f t="shared" si="0"/>
        <v>0</v>
      </c>
      <c r="H25" s="914" t="str">
        <f t="shared" si="1"/>
        <v>n/a</v>
      </c>
      <c r="I25" s="332">
        <v>0</v>
      </c>
      <c r="J25" s="914" t="str">
        <f>IF(Overflow!K$6&gt;0,ROUND(I25/Overflow!K$6,6),"n/a")</f>
        <v>n/a</v>
      </c>
      <c r="K25" s="332">
        <v>0</v>
      </c>
      <c r="L25" s="914" t="str">
        <f>IF(Overflow!K$8&gt;0,ROUND(K25/Overflow!K$8,6),"n/a")</f>
        <v>n/a</v>
      </c>
      <c r="M25" s="330">
        <f>IF(Overflow!G$8+Overflow!K$6+Overflow!K$8=0,0,ROUND((IF(H25="n/a",0,H25)+IF(J25="n/a",0,J25)+IF(L25="n/a",0,L25))/N$9,6))</f>
        <v>0</v>
      </c>
      <c r="O25" s="785">
        <f>LOOKUP(C25,Cities!A$3:A$343,Cities!AA$3:AA$343)</f>
        <v>0</v>
      </c>
      <c r="P25" s="171"/>
      <c r="Q25" s="171"/>
      <c r="R25" s="171"/>
    </row>
    <row r="26" spans="1:18" ht="18" customHeight="1" x14ac:dyDescent="0.2">
      <c r="A26" s="325">
        <v>105</v>
      </c>
      <c r="B26" s="318"/>
      <c r="C26" s="326">
        <v>1</v>
      </c>
      <c r="D26" s="327">
        <f>LOOKUP(C26,Cities!A$3:A$343,Cities!B$3:B$343)</f>
        <v>0</v>
      </c>
      <c r="E26" s="332">
        <v>0</v>
      </c>
      <c r="F26" s="332">
        <v>0</v>
      </c>
      <c r="G26" s="331">
        <f t="shared" si="0"/>
        <v>0</v>
      </c>
      <c r="H26" s="914" t="str">
        <f t="shared" si="1"/>
        <v>n/a</v>
      </c>
      <c r="I26" s="332">
        <v>0</v>
      </c>
      <c r="J26" s="914" t="str">
        <f>IF(Overflow!K$6&gt;0,ROUND(I26/Overflow!K$6,6),"n/a")</f>
        <v>n/a</v>
      </c>
      <c r="K26" s="332">
        <v>0</v>
      </c>
      <c r="L26" s="914" t="str">
        <f>IF(Overflow!K$8&gt;0,ROUND(K26/Overflow!K$8,6),"n/a")</f>
        <v>n/a</v>
      </c>
      <c r="M26" s="330">
        <f>IF(Overflow!G$8+Overflow!K$6+Overflow!K$8=0,0,ROUND((IF(H26="n/a",0,H26)+IF(J26="n/a",0,J26)+IF(L26="n/a",0,L26))/N$9,6))</f>
        <v>0</v>
      </c>
      <c r="O26" s="785">
        <f>LOOKUP(C26,Cities!A$3:A$343,Cities!AA$3:AA$343)</f>
        <v>0</v>
      </c>
      <c r="P26" s="171"/>
      <c r="Q26" s="171"/>
      <c r="R26" s="171"/>
    </row>
    <row r="27" spans="1:18" s="67" customFormat="1" ht="18" customHeight="1" x14ac:dyDescent="0.2">
      <c r="A27" s="325">
        <v>106</v>
      </c>
      <c r="B27" s="318"/>
      <c r="C27" s="326">
        <v>1</v>
      </c>
      <c r="D27" s="327">
        <f>LOOKUP(C27,Cities!A$3:A$343,Cities!B$3:B$343)</f>
        <v>0</v>
      </c>
      <c r="E27" s="332">
        <v>0</v>
      </c>
      <c r="F27" s="332">
        <v>0</v>
      </c>
      <c r="G27" s="331">
        <f t="shared" si="0"/>
        <v>0</v>
      </c>
      <c r="H27" s="914" t="str">
        <f t="shared" si="1"/>
        <v>n/a</v>
      </c>
      <c r="I27" s="332">
        <v>0</v>
      </c>
      <c r="J27" s="914" t="str">
        <f>IF(Overflow!K$6&gt;0,ROUND(I27/Overflow!K$6,6),"n/a")</f>
        <v>n/a</v>
      </c>
      <c r="K27" s="332">
        <v>0</v>
      </c>
      <c r="L27" s="914" t="str">
        <f>IF(Overflow!K$8&gt;0,ROUND(K27/Overflow!K$8,6),"n/a")</f>
        <v>n/a</v>
      </c>
      <c r="M27" s="330">
        <f>IF(Overflow!G$8+Overflow!K$6+Overflow!K$8=0,0,ROUND((IF(H27="n/a",0,H27)+IF(J27="n/a",0,J27)+IF(L27="n/a",0,L27))/N$9,6))</f>
        <v>0</v>
      </c>
      <c r="O27" s="785">
        <f>LOOKUP(C27,Cities!A$3:A$343,Cities!AA$3:AA$343)</f>
        <v>0</v>
      </c>
      <c r="P27" s="345"/>
      <c r="Q27" s="345"/>
      <c r="R27" s="345"/>
    </row>
    <row r="28" spans="1:18" s="67" customFormat="1" ht="18" customHeight="1" x14ac:dyDescent="0.2">
      <c r="A28" s="325">
        <v>107</v>
      </c>
      <c r="B28" s="318"/>
      <c r="C28" s="326">
        <v>1</v>
      </c>
      <c r="D28" s="327">
        <f>LOOKUP(C28,Cities!A$3:A$343,Cities!B$3:B$343)</f>
        <v>0</v>
      </c>
      <c r="E28" s="332">
        <v>0</v>
      </c>
      <c r="F28" s="332">
        <v>0</v>
      </c>
      <c r="G28" s="331">
        <f t="shared" si="0"/>
        <v>0</v>
      </c>
      <c r="H28" s="914" t="str">
        <f t="shared" si="1"/>
        <v>n/a</v>
      </c>
      <c r="I28" s="332">
        <v>0</v>
      </c>
      <c r="J28" s="914" t="str">
        <f>IF(Overflow!K$6&gt;0,ROUND(I28/Overflow!K$6,6),"n/a")</f>
        <v>n/a</v>
      </c>
      <c r="K28" s="332">
        <v>0</v>
      </c>
      <c r="L28" s="914" t="str">
        <f>IF(Overflow!K$8&gt;0,ROUND(K28/Overflow!K$8,6),"n/a")</f>
        <v>n/a</v>
      </c>
      <c r="M28" s="330">
        <f>IF(Overflow!G$8+Overflow!K$6+Overflow!K$8=0,0,ROUND((IF(H28="n/a",0,H28)+IF(J28="n/a",0,J28)+IF(L28="n/a",0,L28))/N$9,6))</f>
        <v>0</v>
      </c>
      <c r="O28" s="785">
        <f>LOOKUP(C28,Cities!A$3:A$343,Cities!AA$3:AA$343)</f>
        <v>0</v>
      </c>
      <c r="P28" s="345"/>
      <c r="Q28" s="345"/>
      <c r="R28" s="345"/>
    </row>
    <row r="29" spans="1:18" s="67" customFormat="1" ht="18" customHeight="1" x14ac:dyDescent="0.2">
      <c r="A29" s="325">
        <v>108</v>
      </c>
      <c r="B29" s="318"/>
      <c r="C29" s="326">
        <v>1</v>
      </c>
      <c r="D29" s="327">
        <f>LOOKUP(C29,Cities!A$3:A$343,Cities!B$3:B$343)</f>
        <v>0</v>
      </c>
      <c r="E29" s="332">
        <v>0</v>
      </c>
      <c r="F29" s="332">
        <v>0</v>
      </c>
      <c r="G29" s="331">
        <f t="shared" si="0"/>
        <v>0</v>
      </c>
      <c r="H29" s="914" t="str">
        <f t="shared" si="1"/>
        <v>n/a</v>
      </c>
      <c r="I29" s="332">
        <v>0</v>
      </c>
      <c r="J29" s="914" t="str">
        <f>IF(Overflow!K$6&gt;0,ROUND(I29/Overflow!K$6,6),"n/a")</f>
        <v>n/a</v>
      </c>
      <c r="K29" s="332">
        <v>0</v>
      </c>
      <c r="L29" s="914" t="str">
        <f>IF(Overflow!K$8&gt;0,ROUND(K29/Overflow!K$8,6),"n/a")</f>
        <v>n/a</v>
      </c>
      <c r="M29" s="330">
        <f>IF(Overflow!G$8+Overflow!K$6+Overflow!K$8=0,0,ROUND((IF(H29="n/a",0,H29)+IF(J29="n/a",0,J29)+IF(L29="n/a",0,L29))/N$9,6))</f>
        <v>0</v>
      </c>
      <c r="O29" s="785">
        <f>LOOKUP(C29,Cities!A$3:A$343,Cities!AA$3:AA$343)</f>
        <v>0</v>
      </c>
      <c r="P29" s="345"/>
      <c r="Q29" s="345"/>
      <c r="R29" s="345"/>
    </row>
    <row r="30" spans="1:18" s="67" customFormat="1" ht="18" customHeight="1" x14ac:dyDescent="0.2">
      <c r="A30" s="325">
        <v>109</v>
      </c>
      <c r="B30" s="318"/>
      <c r="C30" s="326">
        <v>1</v>
      </c>
      <c r="D30" s="327">
        <f>LOOKUP(C30,Cities!A$3:A$343,Cities!B$3:B$343)</f>
        <v>0</v>
      </c>
      <c r="E30" s="332">
        <v>0</v>
      </c>
      <c r="F30" s="332">
        <v>0</v>
      </c>
      <c r="G30" s="331">
        <f t="shared" si="0"/>
        <v>0</v>
      </c>
      <c r="H30" s="914" t="str">
        <f t="shared" si="1"/>
        <v>n/a</v>
      </c>
      <c r="I30" s="332">
        <v>0</v>
      </c>
      <c r="J30" s="914" t="str">
        <f>IF(Overflow!K$6&gt;0,ROUND(I30/Overflow!K$6,6),"n/a")</f>
        <v>n/a</v>
      </c>
      <c r="K30" s="332">
        <v>0</v>
      </c>
      <c r="L30" s="914" t="str">
        <f>IF(Overflow!K$8&gt;0,ROUND(K30/Overflow!K$8,6),"n/a")</f>
        <v>n/a</v>
      </c>
      <c r="M30" s="330">
        <f>IF(Overflow!G$8+Overflow!K$6+Overflow!K$8=0,0,ROUND((IF(H30="n/a",0,H30)+IF(J30="n/a",0,J30)+IF(L30="n/a",0,L30))/N$9,6))</f>
        <v>0</v>
      </c>
      <c r="O30" s="785">
        <f>LOOKUP(C30,Cities!A$3:A$343,Cities!AA$3:AA$343)</f>
        <v>0</v>
      </c>
      <c r="P30" s="345"/>
      <c r="Q30" s="345"/>
      <c r="R30" s="345"/>
    </row>
    <row r="31" spans="1:18" s="67" customFormat="1" ht="18" customHeight="1" x14ac:dyDescent="0.2">
      <c r="A31" s="325">
        <v>110</v>
      </c>
      <c r="B31" s="318"/>
      <c r="C31" s="326">
        <v>1</v>
      </c>
      <c r="D31" s="327">
        <f>LOOKUP(C31,Cities!A$3:A$343,Cities!B$3:B$343)</f>
        <v>0</v>
      </c>
      <c r="E31" s="332">
        <v>0</v>
      </c>
      <c r="F31" s="332">
        <v>0</v>
      </c>
      <c r="G31" s="331">
        <f t="shared" si="0"/>
        <v>0</v>
      </c>
      <c r="H31" s="914" t="str">
        <f t="shared" si="1"/>
        <v>n/a</v>
      </c>
      <c r="I31" s="332">
        <v>0</v>
      </c>
      <c r="J31" s="914" t="str">
        <f>IF(Overflow!K$6&gt;0,ROUND(I31/Overflow!K$6,6),"n/a")</f>
        <v>n/a</v>
      </c>
      <c r="K31" s="332">
        <v>0</v>
      </c>
      <c r="L31" s="914" t="str">
        <f>IF(Overflow!K$8&gt;0,ROUND(K31/Overflow!K$8,6),"n/a")</f>
        <v>n/a</v>
      </c>
      <c r="M31" s="330">
        <f>IF(Overflow!G$8+Overflow!K$6+Overflow!K$8=0,0,ROUND((IF(H31="n/a",0,H31)+IF(J31="n/a",0,J31)+IF(L31="n/a",0,L31))/N$9,6))</f>
        <v>0</v>
      </c>
      <c r="O31" s="785">
        <f>LOOKUP(C31,Cities!A$3:A$343,Cities!AA$3:AA$343)</f>
        <v>0</v>
      </c>
      <c r="P31" s="345"/>
      <c r="Q31" s="345"/>
      <c r="R31" s="345"/>
    </row>
    <row r="32" spans="1:18" s="67" customFormat="1" ht="18" customHeight="1" x14ac:dyDescent="0.2">
      <c r="A32" s="325">
        <v>111</v>
      </c>
      <c r="B32" s="318"/>
      <c r="C32" s="326">
        <v>1</v>
      </c>
      <c r="D32" s="327">
        <f>LOOKUP(C32,Cities!A$3:A$343,Cities!B$3:B$343)</f>
        <v>0</v>
      </c>
      <c r="E32" s="332">
        <v>0</v>
      </c>
      <c r="F32" s="332">
        <v>0</v>
      </c>
      <c r="G32" s="331">
        <f t="shared" si="0"/>
        <v>0</v>
      </c>
      <c r="H32" s="914" t="str">
        <f t="shared" si="1"/>
        <v>n/a</v>
      </c>
      <c r="I32" s="332">
        <v>0</v>
      </c>
      <c r="J32" s="914" t="str">
        <f>IF(Overflow!K$6&gt;0,ROUND(I32/Overflow!K$6,6),"n/a")</f>
        <v>n/a</v>
      </c>
      <c r="K32" s="332">
        <v>0</v>
      </c>
      <c r="L32" s="914" t="str">
        <f>IF(Overflow!K$8&gt;0,ROUND(K32/Overflow!K$8,6),"n/a")</f>
        <v>n/a</v>
      </c>
      <c r="M32" s="330">
        <f>IF(Overflow!G$8+Overflow!K$6+Overflow!K$8=0,0,ROUND((IF(H32="n/a",0,H32)+IF(J32="n/a",0,J32)+IF(L32="n/a",0,L32))/N$9,6))</f>
        <v>0</v>
      </c>
      <c r="O32" s="785">
        <f>LOOKUP(C32,Cities!A$3:A$343,Cities!AA$3:AA$343)</f>
        <v>0</v>
      </c>
      <c r="P32" s="345"/>
      <c r="Q32" s="345"/>
      <c r="R32" s="345"/>
    </row>
    <row r="33" spans="1:18" s="67" customFormat="1" ht="18" customHeight="1" x14ac:dyDescent="0.2">
      <c r="A33" s="325">
        <v>112</v>
      </c>
      <c r="B33" s="318"/>
      <c r="C33" s="326">
        <v>1</v>
      </c>
      <c r="D33" s="327">
        <f>LOOKUP(C33,Cities!A$3:A$343,Cities!B$3:B$343)</f>
        <v>0</v>
      </c>
      <c r="E33" s="332">
        <v>0</v>
      </c>
      <c r="F33" s="332">
        <v>0</v>
      </c>
      <c r="G33" s="331">
        <f t="shared" si="0"/>
        <v>0</v>
      </c>
      <c r="H33" s="914" t="str">
        <f t="shared" si="1"/>
        <v>n/a</v>
      </c>
      <c r="I33" s="332">
        <v>0</v>
      </c>
      <c r="J33" s="914" t="str">
        <f>IF(Overflow!K$6&gt;0,ROUND(I33/Overflow!K$6,6),"n/a")</f>
        <v>n/a</v>
      </c>
      <c r="K33" s="332">
        <v>0</v>
      </c>
      <c r="L33" s="914" t="str">
        <f>IF(Overflow!K$8&gt;0,ROUND(K33/Overflow!K$8,6),"n/a")</f>
        <v>n/a</v>
      </c>
      <c r="M33" s="330">
        <f>IF(Overflow!G$8+Overflow!K$6+Overflow!K$8=0,0,ROUND((IF(H33="n/a",0,H33)+IF(J33="n/a",0,J33)+IF(L33="n/a",0,L33))/N$9,6))</f>
        <v>0</v>
      </c>
      <c r="O33" s="785">
        <f>LOOKUP(C33,Cities!A$3:A$343,Cities!AA$3:AA$343)</f>
        <v>0</v>
      </c>
      <c r="P33" s="345"/>
      <c r="Q33" s="345"/>
      <c r="R33" s="345"/>
    </row>
    <row r="34" spans="1:18" s="67" customFormat="1" ht="18" customHeight="1" x14ac:dyDescent="0.2">
      <c r="A34" s="325">
        <v>113</v>
      </c>
      <c r="B34" s="318"/>
      <c r="C34" s="326">
        <v>1</v>
      </c>
      <c r="D34" s="327">
        <f>LOOKUP(C34,Cities!A$3:A$343,Cities!B$3:B$343)</f>
        <v>0</v>
      </c>
      <c r="E34" s="332">
        <v>0</v>
      </c>
      <c r="F34" s="332">
        <v>0</v>
      </c>
      <c r="G34" s="331">
        <f t="shared" si="0"/>
        <v>0</v>
      </c>
      <c r="H34" s="914" t="str">
        <f t="shared" si="1"/>
        <v>n/a</v>
      </c>
      <c r="I34" s="332">
        <v>0</v>
      </c>
      <c r="J34" s="914" t="str">
        <f>IF(Overflow!K$6&gt;0,ROUND(I34/Overflow!K$6,6),"n/a")</f>
        <v>n/a</v>
      </c>
      <c r="K34" s="332">
        <v>0</v>
      </c>
      <c r="L34" s="914" t="str">
        <f>IF(Overflow!K$8&gt;0,ROUND(K34/Overflow!K$8,6),"n/a")</f>
        <v>n/a</v>
      </c>
      <c r="M34" s="330">
        <f>IF(Overflow!G$8+Overflow!K$6+Overflow!K$8=0,0,ROUND((IF(H34="n/a",0,H34)+IF(J34="n/a",0,J34)+IF(L34="n/a",0,L34))/N$9,6))</f>
        <v>0</v>
      </c>
      <c r="O34" s="785">
        <f>LOOKUP(C34,Cities!A$3:A$343,Cities!AA$3:AA$343)</f>
        <v>0</v>
      </c>
      <c r="P34" s="345"/>
      <c r="Q34" s="345"/>
      <c r="R34" s="345"/>
    </row>
    <row r="35" spans="1:18" s="67" customFormat="1" ht="18" customHeight="1" x14ac:dyDescent="0.2">
      <c r="A35" s="325">
        <v>114</v>
      </c>
      <c r="B35" s="318"/>
      <c r="C35" s="326">
        <v>1</v>
      </c>
      <c r="D35" s="327">
        <f>LOOKUP(C35,Cities!A$3:A$343,Cities!B$3:B$343)</f>
        <v>0</v>
      </c>
      <c r="E35" s="332">
        <v>0</v>
      </c>
      <c r="F35" s="332">
        <v>0</v>
      </c>
      <c r="G35" s="331">
        <f t="shared" si="0"/>
        <v>0</v>
      </c>
      <c r="H35" s="914" t="str">
        <f t="shared" si="1"/>
        <v>n/a</v>
      </c>
      <c r="I35" s="332">
        <v>0</v>
      </c>
      <c r="J35" s="914" t="str">
        <f>IF(Overflow!K$6&gt;0,ROUND(I35/Overflow!K$6,6),"n/a")</f>
        <v>n/a</v>
      </c>
      <c r="K35" s="332">
        <v>0</v>
      </c>
      <c r="L35" s="914" t="str">
        <f>IF(Overflow!K$8&gt;0,ROUND(K35/Overflow!K$8,6),"n/a")</f>
        <v>n/a</v>
      </c>
      <c r="M35" s="330">
        <f>IF(Overflow!G$8+Overflow!K$6+Overflow!K$8=0,0,ROUND((IF(H35="n/a",0,H35)+IF(J35="n/a",0,J35)+IF(L35="n/a",0,L35))/N$9,6))</f>
        <v>0</v>
      </c>
      <c r="O35" s="785">
        <f>LOOKUP(C35,Cities!A$3:A$343,Cities!AA$3:AA$343)</f>
        <v>0</v>
      </c>
      <c r="P35" s="345"/>
      <c r="Q35" s="345"/>
      <c r="R35" s="345"/>
    </row>
    <row r="36" spans="1:18" s="67" customFormat="1" ht="18" customHeight="1" x14ac:dyDescent="0.2">
      <c r="A36" s="325">
        <v>115</v>
      </c>
      <c r="B36" s="318"/>
      <c r="C36" s="326">
        <v>1</v>
      </c>
      <c r="D36" s="327">
        <f>LOOKUP(C36,Cities!A$3:A$343,Cities!B$3:B$343)</f>
        <v>0</v>
      </c>
      <c r="E36" s="332">
        <v>0</v>
      </c>
      <c r="F36" s="332">
        <v>0</v>
      </c>
      <c r="G36" s="331">
        <f t="shared" si="0"/>
        <v>0</v>
      </c>
      <c r="H36" s="914" t="str">
        <f t="shared" si="1"/>
        <v>n/a</v>
      </c>
      <c r="I36" s="332">
        <v>0</v>
      </c>
      <c r="J36" s="914" t="str">
        <f>IF(Overflow!K$6&gt;0,ROUND(I36/Overflow!K$6,6),"n/a")</f>
        <v>n/a</v>
      </c>
      <c r="K36" s="332">
        <v>0</v>
      </c>
      <c r="L36" s="914" t="str">
        <f>IF(Overflow!K$8&gt;0,ROUND(K36/Overflow!K$8,6),"n/a")</f>
        <v>n/a</v>
      </c>
      <c r="M36" s="330">
        <f>IF(Overflow!G$8+Overflow!K$6+Overflow!K$8=0,0,ROUND((IF(H36="n/a",0,H36)+IF(J36="n/a",0,J36)+IF(L36="n/a",0,L36))/N$9,6))</f>
        <v>0</v>
      </c>
      <c r="O36" s="785">
        <f>LOOKUP(C36,Cities!A$3:A$343,Cities!AA$3:AA$343)</f>
        <v>0</v>
      </c>
      <c r="P36" s="345"/>
      <c r="Q36" s="345"/>
      <c r="R36" s="345"/>
    </row>
    <row r="37" spans="1:18" s="67" customFormat="1" ht="18" customHeight="1" x14ac:dyDescent="0.2">
      <c r="A37" s="325">
        <v>116</v>
      </c>
      <c r="B37" s="318"/>
      <c r="C37" s="326">
        <v>1</v>
      </c>
      <c r="D37" s="327">
        <f>LOOKUP(C37,Cities!A$3:A$343,Cities!B$3:B$343)</f>
        <v>0</v>
      </c>
      <c r="E37" s="332">
        <v>0</v>
      </c>
      <c r="F37" s="332">
        <v>0</v>
      </c>
      <c r="G37" s="331">
        <f t="shared" si="0"/>
        <v>0</v>
      </c>
      <c r="H37" s="914" t="str">
        <f t="shared" si="1"/>
        <v>n/a</v>
      </c>
      <c r="I37" s="332">
        <v>0</v>
      </c>
      <c r="J37" s="914" t="str">
        <f>IF(Overflow!K$6&gt;0,ROUND(I37/Overflow!K$6,6),"n/a")</f>
        <v>n/a</v>
      </c>
      <c r="K37" s="332">
        <v>0</v>
      </c>
      <c r="L37" s="914" t="str">
        <f>IF(Overflow!K$8&gt;0,ROUND(K37/Overflow!K$8,6),"n/a")</f>
        <v>n/a</v>
      </c>
      <c r="M37" s="330">
        <f>IF(Overflow!G$8+Overflow!K$6+Overflow!K$8=0,0,ROUND((IF(H37="n/a",0,H37)+IF(J37="n/a",0,J37)+IF(L37="n/a",0,L37))/N$9,6))</f>
        <v>0</v>
      </c>
      <c r="O37" s="785">
        <f>LOOKUP(C37,Cities!A$3:A$343,Cities!AA$3:AA$343)</f>
        <v>0</v>
      </c>
      <c r="P37" s="345"/>
      <c r="Q37" s="345"/>
      <c r="R37" s="345"/>
    </row>
    <row r="38" spans="1:18" s="67" customFormat="1" ht="18" customHeight="1" x14ac:dyDescent="0.2">
      <c r="A38" s="325">
        <v>117</v>
      </c>
      <c r="B38" s="318"/>
      <c r="C38" s="326">
        <v>1</v>
      </c>
      <c r="D38" s="327">
        <f>LOOKUP(C38,Cities!A$3:A$343,Cities!B$3:B$343)</f>
        <v>0</v>
      </c>
      <c r="E38" s="332">
        <v>0</v>
      </c>
      <c r="F38" s="332">
        <v>0</v>
      </c>
      <c r="G38" s="331">
        <f t="shared" si="0"/>
        <v>0</v>
      </c>
      <c r="H38" s="914" t="str">
        <f t="shared" si="1"/>
        <v>n/a</v>
      </c>
      <c r="I38" s="332">
        <v>0</v>
      </c>
      <c r="J38" s="914" t="str">
        <f>IF(Overflow!K$6&gt;0,ROUND(I38/Overflow!K$6,6),"n/a")</f>
        <v>n/a</v>
      </c>
      <c r="K38" s="332">
        <v>0</v>
      </c>
      <c r="L38" s="914" t="str">
        <f>IF(Overflow!K$8&gt;0,ROUND(K38/Overflow!K$8,6),"n/a")</f>
        <v>n/a</v>
      </c>
      <c r="M38" s="330">
        <f>IF(Overflow!G$8+Overflow!K$6+Overflow!K$8=0,0,ROUND((IF(H38="n/a",0,H38)+IF(J38="n/a",0,J38)+IF(L38="n/a",0,L38))/N$9,6))</f>
        <v>0</v>
      </c>
      <c r="O38" s="785">
        <f>LOOKUP(C38,Cities!A$3:A$343,Cities!AA$3:AA$343)</f>
        <v>0</v>
      </c>
      <c r="P38" s="345"/>
      <c r="Q38" s="345"/>
      <c r="R38" s="345"/>
    </row>
    <row r="39" spans="1:18" s="67" customFormat="1" ht="18" customHeight="1" x14ac:dyDescent="0.2">
      <c r="A39" s="325">
        <v>118</v>
      </c>
      <c r="B39" s="318"/>
      <c r="C39" s="326">
        <v>1</v>
      </c>
      <c r="D39" s="327">
        <f>LOOKUP(C39,Cities!A$3:A$343,Cities!B$3:B$343)</f>
        <v>0</v>
      </c>
      <c r="E39" s="332">
        <v>0</v>
      </c>
      <c r="F39" s="332">
        <v>0</v>
      </c>
      <c r="G39" s="331">
        <f t="shared" si="0"/>
        <v>0</v>
      </c>
      <c r="H39" s="914" t="str">
        <f t="shared" si="1"/>
        <v>n/a</v>
      </c>
      <c r="I39" s="332">
        <v>0</v>
      </c>
      <c r="J39" s="914" t="str">
        <f>IF(Overflow!K$6&gt;0,ROUND(I39/Overflow!K$6,6),"n/a")</f>
        <v>n/a</v>
      </c>
      <c r="K39" s="332">
        <v>0</v>
      </c>
      <c r="L39" s="914" t="str">
        <f>IF(Overflow!K$8&gt;0,ROUND(K39/Overflow!K$8,6),"n/a")</f>
        <v>n/a</v>
      </c>
      <c r="M39" s="330">
        <f>IF(Overflow!G$8+Overflow!K$6+Overflow!K$8=0,0,ROUND((IF(H39="n/a",0,H39)+IF(J39="n/a",0,J39)+IF(L39="n/a",0,L39))/N$9,6))</f>
        <v>0</v>
      </c>
      <c r="O39" s="785">
        <f>LOOKUP(C39,Cities!A$3:A$343,Cities!AA$3:AA$343)</f>
        <v>0</v>
      </c>
      <c r="P39" s="345"/>
      <c r="Q39" s="345"/>
      <c r="R39" s="345"/>
    </row>
    <row r="40" spans="1:18" s="67" customFormat="1" ht="18" customHeight="1" x14ac:dyDescent="0.2">
      <c r="A40" s="325">
        <v>119</v>
      </c>
      <c r="B40" s="318"/>
      <c r="C40" s="326">
        <v>1</v>
      </c>
      <c r="D40" s="327">
        <f>LOOKUP(C40,Cities!A$3:A$343,Cities!B$3:B$343)</f>
        <v>0</v>
      </c>
      <c r="E40" s="332">
        <v>0</v>
      </c>
      <c r="F40" s="332">
        <v>0</v>
      </c>
      <c r="G40" s="331">
        <f t="shared" si="0"/>
        <v>0</v>
      </c>
      <c r="H40" s="914" t="str">
        <f t="shared" si="1"/>
        <v>n/a</v>
      </c>
      <c r="I40" s="332">
        <v>0</v>
      </c>
      <c r="J40" s="914" t="str">
        <f>IF(Overflow!K$6&gt;0,ROUND(I40/Overflow!K$6,6),"n/a")</f>
        <v>n/a</v>
      </c>
      <c r="K40" s="332">
        <v>0</v>
      </c>
      <c r="L40" s="914" t="str">
        <f>IF(Overflow!K$8&gt;0,ROUND(K40/Overflow!K$8,6),"n/a")</f>
        <v>n/a</v>
      </c>
      <c r="M40" s="330">
        <f>IF(Overflow!G$8+Overflow!K$6+Overflow!K$8=0,0,ROUND((IF(H40="n/a",0,H40)+IF(J40="n/a",0,J40)+IF(L40="n/a",0,L40))/N$9,6))</f>
        <v>0</v>
      </c>
      <c r="O40" s="785">
        <f>LOOKUP(C40,Cities!A$3:A$343,Cities!AA$3:AA$343)</f>
        <v>0</v>
      </c>
      <c r="P40" s="345"/>
      <c r="Q40" s="345"/>
      <c r="R40" s="345"/>
    </row>
    <row r="41" spans="1:18" s="67" customFormat="1" ht="18" customHeight="1" x14ac:dyDescent="0.2">
      <c r="A41" s="325">
        <v>120</v>
      </c>
      <c r="B41" s="318"/>
      <c r="C41" s="326">
        <v>1</v>
      </c>
      <c r="D41" s="327">
        <f>LOOKUP(C41,Cities!A$3:A$343,Cities!B$3:B$343)</f>
        <v>0</v>
      </c>
      <c r="E41" s="332">
        <v>0</v>
      </c>
      <c r="F41" s="332">
        <v>0</v>
      </c>
      <c r="G41" s="331">
        <f t="shared" si="0"/>
        <v>0</v>
      </c>
      <c r="H41" s="914" t="str">
        <f t="shared" si="1"/>
        <v>n/a</v>
      </c>
      <c r="I41" s="332">
        <v>0</v>
      </c>
      <c r="J41" s="914" t="str">
        <f>IF(Overflow!K$6&gt;0,ROUND(I41/Overflow!K$6,6),"n/a")</f>
        <v>n/a</v>
      </c>
      <c r="K41" s="332">
        <v>0</v>
      </c>
      <c r="L41" s="914" t="str">
        <f>IF(Overflow!K$8&gt;0,ROUND(K41/Overflow!K$8,6),"n/a")</f>
        <v>n/a</v>
      </c>
      <c r="M41" s="330">
        <f>IF(Overflow!G$8+Overflow!K$6+Overflow!K$8=0,0,ROUND((IF(H41="n/a",0,H41)+IF(J41="n/a",0,J41)+IF(L41="n/a",0,L41))/N$9,6))</f>
        <v>0</v>
      </c>
      <c r="O41" s="785">
        <f>LOOKUP(C41,Cities!A$3:A$343,Cities!AA$3:AA$343)</f>
        <v>0</v>
      </c>
      <c r="P41" s="345"/>
      <c r="Q41" s="345"/>
      <c r="R41" s="345"/>
    </row>
    <row r="42" spans="1:18" s="67" customFormat="1" ht="18" customHeight="1" x14ac:dyDescent="0.2">
      <c r="A42" s="325">
        <v>121</v>
      </c>
      <c r="B42" s="318"/>
      <c r="C42" s="326">
        <v>1</v>
      </c>
      <c r="D42" s="327">
        <f>LOOKUP(C42,Cities!A$3:A$343,Cities!B$3:B$343)</f>
        <v>0</v>
      </c>
      <c r="E42" s="332">
        <v>0</v>
      </c>
      <c r="F42" s="332">
        <v>0</v>
      </c>
      <c r="G42" s="331">
        <f t="shared" si="0"/>
        <v>0</v>
      </c>
      <c r="H42" s="914" t="str">
        <f t="shared" si="1"/>
        <v>n/a</v>
      </c>
      <c r="I42" s="332">
        <v>0</v>
      </c>
      <c r="J42" s="914" t="str">
        <f>IF(Overflow!K$6&gt;0,ROUND(I42/Overflow!K$6,6),"n/a")</f>
        <v>n/a</v>
      </c>
      <c r="K42" s="332">
        <v>0</v>
      </c>
      <c r="L42" s="914" t="str">
        <f>IF(Overflow!K$8&gt;0,ROUND(K42/Overflow!K$8,6),"n/a")</f>
        <v>n/a</v>
      </c>
      <c r="M42" s="330">
        <f>IF(Overflow!G$8+Overflow!K$6+Overflow!K$8=0,0,ROUND((IF(H42="n/a",0,H42)+IF(J42="n/a",0,J42)+IF(L42="n/a",0,L42))/N$9,6))</f>
        <v>0</v>
      </c>
      <c r="O42" s="785">
        <f>LOOKUP(C42,Cities!A$3:A$343,Cities!AA$3:AA$343)</f>
        <v>0</v>
      </c>
      <c r="P42" s="345"/>
      <c r="Q42" s="345"/>
      <c r="R42" s="345"/>
    </row>
    <row r="43" spans="1:18" s="67" customFormat="1" ht="18" customHeight="1" x14ac:dyDescent="0.2">
      <c r="A43" s="325">
        <v>122</v>
      </c>
      <c r="B43" s="318"/>
      <c r="C43" s="326">
        <v>1</v>
      </c>
      <c r="D43" s="327">
        <f>LOOKUP(C43,Cities!A$3:A$343,Cities!B$3:B$343)</f>
        <v>0</v>
      </c>
      <c r="E43" s="332">
        <v>0</v>
      </c>
      <c r="F43" s="332">
        <v>0</v>
      </c>
      <c r="G43" s="331">
        <f t="shared" si="0"/>
        <v>0</v>
      </c>
      <c r="H43" s="914" t="str">
        <f t="shared" si="1"/>
        <v>n/a</v>
      </c>
      <c r="I43" s="332">
        <v>0</v>
      </c>
      <c r="J43" s="914" t="str">
        <f>IF(Overflow!K$6&gt;0,ROUND(I43/Overflow!K$6,6),"n/a")</f>
        <v>n/a</v>
      </c>
      <c r="K43" s="332">
        <v>0</v>
      </c>
      <c r="L43" s="914" t="str">
        <f>IF(Overflow!K$8&gt;0,ROUND(K43/Overflow!K$8,6),"n/a")</f>
        <v>n/a</v>
      </c>
      <c r="M43" s="330">
        <f>IF(Overflow!G$8+Overflow!K$6+Overflow!K$8=0,0,ROUND((IF(H43="n/a",0,H43)+IF(J43="n/a",0,J43)+IF(L43="n/a",0,L43))/N$9,6))</f>
        <v>0</v>
      </c>
      <c r="O43" s="785">
        <f>LOOKUP(C43,Cities!A$3:A$343,Cities!AA$3:AA$343)</f>
        <v>0</v>
      </c>
      <c r="P43" s="345"/>
      <c r="Q43" s="345"/>
      <c r="R43" s="345"/>
    </row>
    <row r="44" spans="1:18" s="67" customFormat="1" ht="18" customHeight="1" x14ac:dyDescent="0.2">
      <c r="A44" s="325">
        <v>123</v>
      </c>
      <c r="B44" s="318"/>
      <c r="C44" s="326">
        <v>1</v>
      </c>
      <c r="D44" s="327">
        <f>LOOKUP(C44,Cities!A$3:A$343,Cities!B$3:B$343)</f>
        <v>0</v>
      </c>
      <c r="E44" s="332">
        <v>0</v>
      </c>
      <c r="F44" s="332">
        <v>0</v>
      </c>
      <c r="G44" s="331">
        <f t="shared" si="0"/>
        <v>0</v>
      </c>
      <c r="H44" s="914" t="str">
        <f t="shared" si="1"/>
        <v>n/a</v>
      </c>
      <c r="I44" s="332">
        <v>0</v>
      </c>
      <c r="J44" s="914" t="str">
        <f>IF(Overflow!K$6&gt;0,ROUND(I44/Overflow!K$6,6),"n/a")</f>
        <v>n/a</v>
      </c>
      <c r="K44" s="332">
        <v>0</v>
      </c>
      <c r="L44" s="914" t="str">
        <f>IF(Overflow!K$8&gt;0,ROUND(K44/Overflow!K$8,6),"n/a")</f>
        <v>n/a</v>
      </c>
      <c r="M44" s="330">
        <f>IF(Overflow!G$8+Overflow!K$6+Overflow!K$8=0,0,ROUND((IF(H44="n/a",0,H44)+IF(J44="n/a",0,J44)+IF(L44="n/a",0,L44))/N$9,6))</f>
        <v>0</v>
      </c>
      <c r="O44" s="785">
        <f>LOOKUP(C44,Cities!A$3:A$343,Cities!AA$3:AA$343)</f>
        <v>0</v>
      </c>
      <c r="P44" s="345"/>
      <c r="Q44" s="345"/>
      <c r="R44" s="345"/>
    </row>
    <row r="45" spans="1:18" s="67" customFormat="1" ht="18" customHeight="1" x14ac:dyDescent="0.2">
      <c r="A45" s="325">
        <v>124</v>
      </c>
      <c r="B45" s="318"/>
      <c r="C45" s="326">
        <v>1</v>
      </c>
      <c r="D45" s="327">
        <f>LOOKUP(C45,Cities!A$3:A$343,Cities!B$3:B$343)</f>
        <v>0</v>
      </c>
      <c r="E45" s="332">
        <v>0</v>
      </c>
      <c r="F45" s="332">
        <v>0</v>
      </c>
      <c r="G45" s="331">
        <f t="shared" si="0"/>
        <v>0</v>
      </c>
      <c r="H45" s="914" t="str">
        <f t="shared" si="1"/>
        <v>n/a</v>
      </c>
      <c r="I45" s="332">
        <v>0</v>
      </c>
      <c r="J45" s="914" t="str">
        <f>IF(Overflow!K$6&gt;0,ROUND(I45/Overflow!K$6,6),"n/a")</f>
        <v>n/a</v>
      </c>
      <c r="K45" s="332">
        <v>0</v>
      </c>
      <c r="L45" s="914" t="str">
        <f>IF(Overflow!K$8&gt;0,ROUND(K45/Overflow!K$8,6),"n/a")</f>
        <v>n/a</v>
      </c>
      <c r="M45" s="330">
        <f>IF(Overflow!G$8+Overflow!K$6+Overflow!K$8=0,0,ROUND((IF(H45="n/a",0,H45)+IF(J45="n/a",0,J45)+IF(L45="n/a",0,L45))/N$9,6))</f>
        <v>0</v>
      </c>
      <c r="O45" s="785">
        <f>LOOKUP(C45,Cities!A$3:A$343,Cities!AA$3:AA$343)</f>
        <v>0</v>
      </c>
      <c r="P45" s="345"/>
      <c r="Q45" s="345"/>
      <c r="R45" s="345"/>
    </row>
    <row r="46" spans="1:18" s="67" customFormat="1" ht="18" customHeight="1" x14ac:dyDescent="0.2">
      <c r="A46" s="325">
        <v>125</v>
      </c>
      <c r="B46" s="318"/>
      <c r="C46" s="326">
        <v>1</v>
      </c>
      <c r="D46" s="327">
        <f>LOOKUP(C46,Cities!A$3:A$343,Cities!B$3:B$343)</f>
        <v>0</v>
      </c>
      <c r="E46" s="332">
        <v>0</v>
      </c>
      <c r="F46" s="332">
        <v>0</v>
      </c>
      <c r="G46" s="331">
        <f t="shared" si="0"/>
        <v>0</v>
      </c>
      <c r="H46" s="914" t="str">
        <f t="shared" si="1"/>
        <v>n/a</v>
      </c>
      <c r="I46" s="332">
        <v>0</v>
      </c>
      <c r="J46" s="914" t="str">
        <f>IF(Overflow!K$6&gt;0,ROUND(I46/Overflow!K$6,6),"n/a")</f>
        <v>n/a</v>
      </c>
      <c r="K46" s="332">
        <v>0</v>
      </c>
      <c r="L46" s="914" t="str">
        <f>IF(Overflow!K$8&gt;0,ROUND(K46/Overflow!K$8,6),"n/a")</f>
        <v>n/a</v>
      </c>
      <c r="M46" s="330">
        <f>IF(Overflow!G$8+Overflow!K$6+Overflow!K$8=0,0,ROUND((IF(H46="n/a",0,H46)+IF(J46="n/a",0,J46)+IF(L46="n/a",0,L46))/N$9,6))</f>
        <v>0</v>
      </c>
      <c r="O46" s="785">
        <f>LOOKUP(C46,Cities!A$3:A$343,Cities!AA$3:AA$343)</f>
        <v>0</v>
      </c>
      <c r="P46" s="345"/>
      <c r="Q46" s="345"/>
      <c r="R46" s="345"/>
    </row>
    <row r="47" spans="1:18" s="67" customFormat="1" ht="18" customHeight="1" x14ac:dyDescent="0.2">
      <c r="A47" s="325">
        <v>126</v>
      </c>
      <c r="B47" s="318"/>
      <c r="C47" s="326">
        <v>1</v>
      </c>
      <c r="D47" s="327">
        <f>LOOKUP(C47,Cities!A$3:A$343,Cities!B$3:B$343)</f>
        <v>0</v>
      </c>
      <c r="E47" s="332">
        <v>0</v>
      </c>
      <c r="F47" s="332">
        <v>0</v>
      </c>
      <c r="G47" s="331">
        <f t="shared" si="0"/>
        <v>0</v>
      </c>
      <c r="H47" s="914" t="str">
        <f t="shared" si="1"/>
        <v>n/a</v>
      </c>
      <c r="I47" s="332">
        <v>0</v>
      </c>
      <c r="J47" s="914" t="str">
        <f>IF(Overflow!K$6&gt;0,ROUND(I47/Overflow!K$6,6),"n/a")</f>
        <v>n/a</v>
      </c>
      <c r="K47" s="332">
        <v>0</v>
      </c>
      <c r="L47" s="914" t="str">
        <f>IF(Overflow!K$8&gt;0,ROUND(K47/Overflow!K$8,6),"n/a")</f>
        <v>n/a</v>
      </c>
      <c r="M47" s="330">
        <f>IF(Overflow!G$8+Overflow!K$6+Overflow!K$8=0,0,ROUND((IF(H47="n/a",0,H47)+IF(J47="n/a",0,J47)+IF(L47="n/a",0,L47))/N$9,6))</f>
        <v>0</v>
      </c>
      <c r="O47" s="785">
        <f>LOOKUP(C47,Cities!A$3:A$343,Cities!AA$3:AA$343)</f>
        <v>0</v>
      </c>
      <c r="P47" s="345"/>
      <c r="Q47" s="345"/>
      <c r="R47" s="345"/>
    </row>
    <row r="48" spans="1:18" s="67" customFormat="1" ht="18" customHeight="1" x14ac:dyDescent="0.2">
      <c r="A48" s="325">
        <v>127</v>
      </c>
      <c r="B48" s="318"/>
      <c r="C48" s="326">
        <v>1</v>
      </c>
      <c r="D48" s="327">
        <f>LOOKUP(C48,Cities!A$3:A$343,Cities!B$3:B$343)</f>
        <v>0</v>
      </c>
      <c r="E48" s="332">
        <v>0</v>
      </c>
      <c r="F48" s="332">
        <v>0</v>
      </c>
      <c r="G48" s="331">
        <f t="shared" si="0"/>
        <v>0</v>
      </c>
      <c r="H48" s="914" t="str">
        <f t="shared" si="1"/>
        <v>n/a</v>
      </c>
      <c r="I48" s="332">
        <v>0</v>
      </c>
      <c r="J48" s="914" t="str">
        <f>IF(Overflow!K$6&gt;0,ROUND(I48/Overflow!K$6,6),"n/a")</f>
        <v>n/a</v>
      </c>
      <c r="K48" s="332">
        <v>0</v>
      </c>
      <c r="L48" s="914" t="str">
        <f>IF(Overflow!K$8&gt;0,ROUND(K48/Overflow!K$8,6),"n/a")</f>
        <v>n/a</v>
      </c>
      <c r="M48" s="330">
        <f>IF(Overflow!G$8+Overflow!K$6+Overflow!K$8=0,0,ROUND((IF(H48="n/a",0,H48)+IF(J48="n/a",0,J48)+IF(L48="n/a",0,L48))/N$9,6))</f>
        <v>0</v>
      </c>
      <c r="O48" s="785">
        <f>LOOKUP(C48,Cities!A$3:A$343,Cities!AA$3:AA$343)</f>
        <v>0</v>
      </c>
      <c r="P48" s="345"/>
      <c r="Q48" s="345"/>
      <c r="R48" s="345"/>
    </row>
    <row r="49" spans="1:18" s="67" customFormat="1" ht="18" customHeight="1" x14ac:dyDescent="0.2">
      <c r="A49" s="325">
        <v>128</v>
      </c>
      <c r="B49" s="318"/>
      <c r="C49" s="326">
        <v>1</v>
      </c>
      <c r="D49" s="327">
        <f>LOOKUP(C49,Cities!A$3:A$343,Cities!B$3:B$343)</f>
        <v>0</v>
      </c>
      <c r="E49" s="332">
        <v>0</v>
      </c>
      <c r="F49" s="332">
        <v>0</v>
      </c>
      <c r="G49" s="331">
        <f t="shared" si="0"/>
        <v>0</v>
      </c>
      <c r="H49" s="914" t="str">
        <f t="shared" si="1"/>
        <v>n/a</v>
      </c>
      <c r="I49" s="332">
        <v>0</v>
      </c>
      <c r="J49" s="914" t="str">
        <f>IF(Overflow!K$6&gt;0,ROUND(I49/Overflow!K$6,6),"n/a")</f>
        <v>n/a</v>
      </c>
      <c r="K49" s="332">
        <v>0</v>
      </c>
      <c r="L49" s="914" t="str">
        <f>IF(Overflow!K$8&gt;0,ROUND(K49/Overflow!K$8,6),"n/a")</f>
        <v>n/a</v>
      </c>
      <c r="M49" s="330">
        <f>IF(Overflow!G$8+Overflow!K$6+Overflow!K$8=0,0,ROUND((IF(H49="n/a",0,H49)+IF(J49="n/a",0,J49)+IF(L49="n/a",0,L49))/N$9,6))</f>
        <v>0</v>
      </c>
      <c r="O49" s="785">
        <f>LOOKUP(C49,Cities!A$3:A$343,Cities!AA$3:AA$343)</f>
        <v>0</v>
      </c>
      <c r="P49" s="345"/>
      <c r="Q49" s="345"/>
      <c r="R49" s="345"/>
    </row>
    <row r="50" spans="1:18" s="67" customFormat="1" ht="18" customHeight="1" x14ac:dyDescent="0.2">
      <c r="A50" s="325">
        <v>129</v>
      </c>
      <c r="B50" s="318"/>
      <c r="C50" s="326">
        <v>1</v>
      </c>
      <c r="D50" s="327">
        <f>LOOKUP(C50,Cities!A$3:A$343,Cities!B$3:B$343)</f>
        <v>0</v>
      </c>
      <c r="E50" s="332">
        <v>0</v>
      </c>
      <c r="F50" s="332">
        <v>0</v>
      </c>
      <c r="G50" s="331">
        <f t="shared" si="0"/>
        <v>0</v>
      </c>
      <c r="H50" s="914" t="str">
        <f t="shared" si="1"/>
        <v>n/a</v>
      </c>
      <c r="I50" s="332">
        <v>0</v>
      </c>
      <c r="J50" s="914" t="str">
        <f>IF(Overflow!K$6&gt;0,ROUND(I50/Overflow!K$6,6),"n/a")</f>
        <v>n/a</v>
      </c>
      <c r="K50" s="332">
        <v>0</v>
      </c>
      <c r="L50" s="914" t="str">
        <f>IF(Overflow!K$8&gt;0,ROUND(K50/Overflow!K$8,6),"n/a")</f>
        <v>n/a</v>
      </c>
      <c r="M50" s="330">
        <f>IF(Overflow!G$8+Overflow!K$6+Overflow!K$8=0,0,ROUND((IF(H50="n/a",0,H50)+IF(J50="n/a",0,J50)+IF(L50="n/a",0,L50))/N$9,6))</f>
        <v>0</v>
      </c>
      <c r="O50" s="785">
        <f>LOOKUP(C50,Cities!A$3:A$343,Cities!AA$3:AA$343)</f>
        <v>0</v>
      </c>
      <c r="P50" s="345"/>
      <c r="Q50" s="345"/>
      <c r="R50" s="345"/>
    </row>
    <row r="51" spans="1:18" s="67" customFormat="1" ht="18" customHeight="1" x14ac:dyDescent="0.2">
      <c r="A51" s="325">
        <v>130</v>
      </c>
      <c r="B51" s="318"/>
      <c r="C51" s="326">
        <v>1</v>
      </c>
      <c r="D51" s="327">
        <f>LOOKUP(C51,Cities!A$3:A$343,Cities!B$3:B$343)</f>
        <v>0</v>
      </c>
      <c r="E51" s="332">
        <v>0</v>
      </c>
      <c r="F51" s="332">
        <v>0</v>
      </c>
      <c r="G51" s="331">
        <f t="shared" si="0"/>
        <v>0</v>
      </c>
      <c r="H51" s="914" t="str">
        <f t="shared" si="1"/>
        <v>n/a</v>
      </c>
      <c r="I51" s="332">
        <v>0</v>
      </c>
      <c r="J51" s="914" t="str">
        <f>IF(Overflow!K$6&gt;0,ROUND(I51/Overflow!K$6,6),"n/a")</f>
        <v>n/a</v>
      </c>
      <c r="K51" s="332">
        <v>0</v>
      </c>
      <c r="L51" s="914" t="str">
        <f>IF(Overflow!K$8&gt;0,ROUND(K51/Overflow!K$8,6),"n/a")</f>
        <v>n/a</v>
      </c>
      <c r="M51" s="330">
        <f>IF(Overflow!G$8+Overflow!K$6+Overflow!K$8=0,0,ROUND((IF(H51="n/a",0,H51)+IF(J51="n/a",0,J51)+IF(L51="n/a",0,L51))/N$9,6))</f>
        <v>0</v>
      </c>
      <c r="O51" s="785">
        <f>LOOKUP(C51,Cities!A$3:A$343,Cities!AA$3:AA$343)</f>
        <v>0</v>
      </c>
      <c r="P51" s="345"/>
      <c r="Q51" s="345"/>
      <c r="R51" s="345"/>
    </row>
    <row r="52" spans="1:18" s="67" customFormat="1" ht="18" customHeight="1" x14ac:dyDescent="0.2">
      <c r="A52" s="325">
        <v>131</v>
      </c>
      <c r="B52" s="318"/>
      <c r="C52" s="326">
        <v>1</v>
      </c>
      <c r="D52" s="327">
        <f>LOOKUP(C52,Cities!A$3:A$343,Cities!B$3:B$343)</f>
        <v>0</v>
      </c>
      <c r="E52" s="332">
        <v>0</v>
      </c>
      <c r="F52" s="332">
        <v>0</v>
      </c>
      <c r="G52" s="331">
        <f t="shared" si="0"/>
        <v>0</v>
      </c>
      <c r="H52" s="914" t="str">
        <f t="shared" si="1"/>
        <v>n/a</v>
      </c>
      <c r="I52" s="332">
        <v>0</v>
      </c>
      <c r="J52" s="914" t="str">
        <f>IF(Overflow!K$6&gt;0,ROUND(I52/Overflow!K$6,6),"n/a")</f>
        <v>n/a</v>
      </c>
      <c r="K52" s="332">
        <v>0</v>
      </c>
      <c r="L52" s="914" t="str">
        <f>IF(Overflow!K$8&gt;0,ROUND(K52/Overflow!K$8,6),"n/a")</f>
        <v>n/a</v>
      </c>
      <c r="M52" s="330">
        <f>IF(Overflow!G$8+Overflow!K$6+Overflow!K$8=0,0,ROUND((IF(H52="n/a",0,H52)+IF(J52="n/a",0,J52)+IF(L52="n/a",0,L52))/N$9,6))</f>
        <v>0</v>
      </c>
      <c r="O52" s="785">
        <f>LOOKUP(C52,Cities!A$3:A$343,Cities!AA$3:AA$343)</f>
        <v>0</v>
      </c>
      <c r="P52" s="345"/>
      <c r="Q52" s="345"/>
      <c r="R52" s="345"/>
    </row>
    <row r="53" spans="1:18" s="67" customFormat="1" ht="18" customHeight="1" x14ac:dyDescent="0.2">
      <c r="A53" s="325">
        <v>132</v>
      </c>
      <c r="B53" s="318"/>
      <c r="C53" s="326">
        <v>1</v>
      </c>
      <c r="D53" s="327">
        <f>LOOKUP(C53,Cities!A$3:A$343,Cities!B$3:B$343)</f>
        <v>0</v>
      </c>
      <c r="E53" s="332">
        <v>0</v>
      </c>
      <c r="F53" s="332">
        <v>0</v>
      </c>
      <c r="G53" s="331">
        <f t="shared" si="0"/>
        <v>0</v>
      </c>
      <c r="H53" s="914" t="str">
        <f t="shared" si="1"/>
        <v>n/a</v>
      </c>
      <c r="I53" s="332">
        <v>0</v>
      </c>
      <c r="J53" s="914" t="str">
        <f>IF(Overflow!K$6&gt;0,ROUND(I53/Overflow!K$6,6),"n/a")</f>
        <v>n/a</v>
      </c>
      <c r="K53" s="332">
        <v>0</v>
      </c>
      <c r="L53" s="914" t="str">
        <f>IF(Overflow!K$8&gt;0,ROUND(K53/Overflow!K$8,6),"n/a")</f>
        <v>n/a</v>
      </c>
      <c r="M53" s="330">
        <f>IF(Overflow!G$8+Overflow!K$6+Overflow!K$8=0,0,ROUND((IF(H53="n/a",0,H53)+IF(J53="n/a",0,J53)+IF(L53="n/a",0,L53))/N$9,6))</f>
        <v>0</v>
      </c>
      <c r="O53" s="785">
        <f>LOOKUP(C53,Cities!A$3:A$343,Cities!AA$3:AA$343)</f>
        <v>0</v>
      </c>
      <c r="P53" s="345"/>
      <c r="Q53" s="345"/>
      <c r="R53" s="345"/>
    </row>
    <row r="54" spans="1:18" s="67" customFormat="1" ht="18" customHeight="1" x14ac:dyDescent="0.2">
      <c r="A54" s="325">
        <v>133</v>
      </c>
      <c r="B54" s="318"/>
      <c r="C54" s="326">
        <v>1</v>
      </c>
      <c r="D54" s="327">
        <f>LOOKUP(C54,Cities!A$3:A$343,Cities!B$3:B$343)</f>
        <v>0</v>
      </c>
      <c r="E54" s="332">
        <v>0</v>
      </c>
      <c r="F54" s="332">
        <v>0</v>
      </c>
      <c r="G54" s="331">
        <f t="shared" si="0"/>
        <v>0</v>
      </c>
      <c r="H54" s="914" t="str">
        <f t="shared" si="1"/>
        <v>n/a</v>
      </c>
      <c r="I54" s="332">
        <v>0</v>
      </c>
      <c r="J54" s="914" t="str">
        <f>IF(Overflow!K$6&gt;0,ROUND(I54/Overflow!K$6,6),"n/a")</f>
        <v>n/a</v>
      </c>
      <c r="K54" s="332">
        <v>0</v>
      </c>
      <c r="L54" s="914" t="str">
        <f>IF(Overflow!K$8&gt;0,ROUND(K54/Overflow!K$8,6),"n/a")</f>
        <v>n/a</v>
      </c>
      <c r="M54" s="330">
        <f>IF(Overflow!G$8+Overflow!K$6+Overflow!K$8=0,0,ROUND((IF(H54="n/a",0,H54)+IF(J54="n/a",0,J54)+IF(L54="n/a",0,L54))/N$9,6))</f>
        <v>0</v>
      </c>
      <c r="O54" s="785">
        <f>LOOKUP(C54,Cities!A$3:A$343,Cities!AA$3:AA$343)</f>
        <v>0</v>
      </c>
      <c r="P54" s="345"/>
      <c r="Q54" s="345"/>
      <c r="R54" s="345"/>
    </row>
    <row r="55" spans="1:18" s="67" customFormat="1" ht="18" customHeight="1" x14ac:dyDescent="0.2">
      <c r="A55" s="325">
        <v>134</v>
      </c>
      <c r="B55" s="318"/>
      <c r="C55" s="326">
        <v>1</v>
      </c>
      <c r="D55" s="327">
        <f>LOOKUP(C55,Cities!A$3:A$343,Cities!B$3:B$343)</f>
        <v>0</v>
      </c>
      <c r="E55" s="332">
        <v>0</v>
      </c>
      <c r="F55" s="332">
        <v>0</v>
      </c>
      <c r="G55" s="331">
        <f t="shared" si="0"/>
        <v>0</v>
      </c>
      <c r="H55" s="914" t="str">
        <f t="shared" si="1"/>
        <v>n/a</v>
      </c>
      <c r="I55" s="332">
        <v>0</v>
      </c>
      <c r="J55" s="914" t="str">
        <f>IF(Overflow!K$6&gt;0,ROUND(I55/Overflow!K$6,6),"n/a")</f>
        <v>n/a</v>
      </c>
      <c r="K55" s="332">
        <v>0</v>
      </c>
      <c r="L55" s="914" t="str">
        <f>IF(Overflow!K$8&gt;0,ROUND(K55/Overflow!K$8,6),"n/a")</f>
        <v>n/a</v>
      </c>
      <c r="M55" s="330">
        <f>IF(Overflow!G$8+Overflow!K$6+Overflow!K$8=0,0,ROUND((IF(H55="n/a",0,H55)+IF(J55="n/a",0,J55)+IF(L55="n/a",0,L55))/N$9,6))</f>
        <v>0</v>
      </c>
      <c r="O55" s="785">
        <f>LOOKUP(C55,Cities!A$3:A$343,Cities!AA$3:AA$343)</f>
        <v>0</v>
      </c>
      <c r="P55" s="345"/>
      <c r="Q55" s="345"/>
      <c r="R55" s="345"/>
    </row>
    <row r="56" spans="1:18" s="67" customFormat="1" ht="18" customHeight="1" x14ac:dyDescent="0.2">
      <c r="A56" s="325">
        <v>135</v>
      </c>
      <c r="B56" s="318"/>
      <c r="C56" s="326">
        <v>1</v>
      </c>
      <c r="D56" s="327">
        <f>LOOKUP(C56,Cities!A$3:A$343,Cities!B$3:B$343)</f>
        <v>0</v>
      </c>
      <c r="E56" s="332">
        <v>0</v>
      </c>
      <c r="F56" s="332">
        <v>0</v>
      </c>
      <c r="G56" s="331">
        <f t="shared" si="0"/>
        <v>0</v>
      </c>
      <c r="H56" s="914" t="str">
        <f t="shared" si="1"/>
        <v>n/a</v>
      </c>
      <c r="I56" s="332">
        <v>0</v>
      </c>
      <c r="J56" s="914" t="str">
        <f>IF(Overflow!K$6&gt;0,ROUND(I56/Overflow!K$6,6),"n/a")</f>
        <v>n/a</v>
      </c>
      <c r="K56" s="332">
        <v>0</v>
      </c>
      <c r="L56" s="914" t="str">
        <f>IF(Overflow!K$8&gt;0,ROUND(K56/Overflow!K$8,6),"n/a")</f>
        <v>n/a</v>
      </c>
      <c r="M56" s="330">
        <f>IF(Overflow!G$8+Overflow!K$6+Overflow!K$8=0,0,ROUND((IF(H56="n/a",0,H56)+IF(J56="n/a",0,J56)+IF(L56="n/a",0,L56))/N$9,6))</f>
        <v>0</v>
      </c>
      <c r="O56" s="785">
        <f>LOOKUP(C56,Cities!A$3:A$343,Cities!AA$3:AA$343)</f>
        <v>0</v>
      </c>
      <c r="P56" s="345"/>
      <c r="Q56" s="345"/>
      <c r="R56" s="345"/>
    </row>
    <row r="57" spans="1:18" s="67" customFormat="1" ht="18" customHeight="1" x14ac:dyDescent="0.2">
      <c r="M57" s="341">
        <f>SUM(M12:M56)</f>
        <v>0</v>
      </c>
      <c r="O57" s="345"/>
      <c r="P57" s="345"/>
      <c r="Q57" s="345"/>
      <c r="R57" s="345"/>
    </row>
    <row r="58" spans="1:18" s="67" customFormat="1" ht="12.75" customHeight="1" x14ac:dyDescent="0.2">
      <c r="B58" s="851"/>
      <c r="K58" s="1567" t="s">
        <v>1669</v>
      </c>
      <c r="O58" s="345"/>
      <c r="P58" s="345"/>
      <c r="Q58" s="345"/>
      <c r="R58" s="345"/>
    </row>
    <row r="59" spans="1:18" s="1" customFormat="1" ht="30" customHeight="1" x14ac:dyDescent="0.4">
      <c r="A59" s="1372" t="s">
        <v>372</v>
      </c>
      <c r="B59" s="1540"/>
      <c r="C59" s="216"/>
      <c r="D59" s="1541" t="s">
        <v>373</v>
      </c>
      <c r="E59" s="1338"/>
      <c r="F59" s="1338"/>
      <c r="G59" s="1338"/>
      <c r="H59" s="1338"/>
      <c r="I59" s="1338"/>
      <c r="J59" s="1338"/>
      <c r="K59" s="1560"/>
      <c r="L59" s="1380">
        <f>+L1</f>
        <v>2018</v>
      </c>
      <c r="M59" s="1381"/>
      <c r="O59" s="344"/>
      <c r="P59" s="344"/>
      <c r="Q59" s="344"/>
      <c r="R59" s="344"/>
    </row>
    <row r="60" spans="1:18" s="1" customFormat="1" ht="15.75" customHeight="1" x14ac:dyDescent="0.2">
      <c r="A60" s="1545" t="s">
        <v>159</v>
      </c>
      <c r="B60" s="1546"/>
      <c r="C60" s="217"/>
      <c r="D60" s="1557"/>
      <c r="E60" s="1558"/>
      <c r="F60" s="1558"/>
      <c r="G60" s="1558"/>
      <c r="H60" s="1558"/>
      <c r="I60" s="1558"/>
      <c r="J60" s="1558"/>
      <c r="K60" s="838"/>
      <c r="L60" s="1382" t="str">
        <f>+'Complete This Page'!J1</f>
        <v>NPAC v2018.0</v>
      </c>
      <c r="M60" s="1383"/>
      <c r="O60" s="291"/>
      <c r="P60" s="344"/>
      <c r="Q60" s="344"/>
      <c r="R60" s="344"/>
    </row>
    <row r="61" spans="1:18" s="1" customFormat="1" x14ac:dyDescent="0.2">
      <c r="A61" s="1" t="s">
        <v>467</v>
      </c>
      <c r="B61" s="61"/>
      <c r="C61" s="61"/>
      <c r="D61" s="61"/>
      <c r="E61" s="61"/>
      <c r="F61" s="61"/>
      <c r="G61" s="61"/>
      <c r="H61" s="61"/>
      <c r="I61" s="199"/>
      <c r="J61" s="334"/>
      <c r="K61" s="335" t="s">
        <v>466</v>
      </c>
      <c r="O61" s="291"/>
      <c r="P61" s="344"/>
      <c r="Q61" s="344"/>
      <c r="R61" s="344"/>
    </row>
    <row r="62" spans="1:18" s="1" customFormat="1" ht="18" x14ac:dyDescent="0.25">
      <c r="A62" s="25"/>
      <c r="B62" s="1377">
        <f>+B4</f>
        <v>0</v>
      </c>
      <c r="C62" s="1377"/>
      <c r="D62" s="1377"/>
      <c r="E62" s="1377"/>
      <c r="F62" s="1377"/>
      <c r="G62" s="1377"/>
      <c r="H62" s="1377"/>
      <c r="I62" s="1377"/>
      <c r="J62" s="1378"/>
      <c r="K62" s="1350">
        <f>+K4</f>
        <v>0</v>
      </c>
      <c r="L62" s="1351"/>
      <c r="M62" s="1351"/>
      <c r="O62" s="291"/>
      <c r="P62" s="344"/>
      <c r="Q62" s="344"/>
      <c r="R62" s="344"/>
    </row>
    <row r="63" spans="1:18" x14ac:dyDescent="0.2">
      <c r="A63" s="328"/>
      <c r="O63" s="786"/>
      <c r="P63" s="171"/>
      <c r="Q63" s="171"/>
      <c r="R63" s="171"/>
    </row>
    <row r="64" spans="1:18" ht="47.25" customHeight="1" x14ac:dyDescent="0.2">
      <c r="B64" s="322"/>
      <c r="C64" s="1"/>
      <c r="D64" s="1547" t="s">
        <v>588</v>
      </c>
      <c r="E64" s="1547" t="s">
        <v>1684</v>
      </c>
      <c r="F64" s="1547" t="s">
        <v>1690</v>
      </c>
      <c r="G64" s="1553" t="s">
        <v>1685</v>
      </c>
      <c r="H64" s="1554"/>
      <c r="I64" s="1553" t="s">
        <v>1689</v>
      </c>
      <c r="J64" s="1554"/>
      <c r="K64" s="21"/>
      <c r="L64" s="1539"/>
      <c r="M64" s="1123"/>
      <c r="O64" s="1565"/>
      <c r="P64" s="171"/>
      <c r="Q64" s="171"/>
      <c r="R64" s="171"/>
    </row>
    <row r="65" spans="1:18" x14ac:dyDescent="0.2">
      <c r="B65" s="323" t="s">
        <v>618</v>
      </c>
      <c r="C65" s="324" t="s">
        <v>164</v>
      </c>
      <c r="D65" s="1548"/>
      <c r="E65" s="1552"/>
      <c r="F65" s="1552"/>
      <c r="G65" s="1555"/>
      <c r="H65" s="1556"/>
      <c r="I65" s="1555"/>
      <c r="J65" s="1556"/>
      <c r="K65" s="22" t="s">
        <v>561</v>
      </c>
      <c r="L65" s="1064" t="s">
        <v>562</v>
      </c>
      <c r="M65" s="1549"/>
      <c r="O65" s="1565"/>
      <c r="P65" s="171"/>
      <c r="Q65" s="171"/>
      <c r="R65" s="171"/>
    </row>
    <row r="66" spans="1:18" ht="15" x14ac:dyDescent="0.2">
      <c r="A66" s="325">
        <v>91</v>
      </c>
      <c r="B66" s="336" t="str">
        <f>IF(C66=1,"",LOOKUP(C66,Cities!A$3:A$343,Cities!C$3:C$343))</f>
        <v/>
      </c>
      <c r="C66" s="338">
        <f t="shared" ref="C66:D85" si="2">+C12</f>
        <v>1</v>
      </c>
      <c r="D66" s="337">
        <f t="shared" si="2"/>
        <v>0</v>
      </c>
      <c r="E66" s="812">
        <f>ROUND('Print Return'!$L$37*'Overflow (3)'!M12,0)</f>
        <v>0</v>
      </c>
      <c r="F66" s="955"/>
      <c r="G66" s="1524"/>
      <c r="H66" s="1524"/>
      <c r="I66" s="1525">
        <f>IF(Data!D$33=TRUE,'Overflows Worksheet'!K104,'Overflows Worksheet'!T104)</f>
        <v>0</v>
      </c>
      <c r="J66" s="1525"/>
      <c r="K66" s="853">
        <f>LOOKUP(C12,Cities!A$3:A$343,Cities!D$3:D$343)</f>
        <v>0</v>
      </c>
      <c r="L66" s="1522">
        <f>IF(AND(I66&gt;0, OR(I66*K66&gt;10,$L$1&lt;2016)),ROUND(I66*K66,0),0)</f>
        <v>0</v>
      </c>
      <c r="M66" s="1523"/>
      <c r="N66" s="339">
        <f>LOOKUP($C12,Cities!$A$3:$A$356,Cities!$V$3:$V$356)</f>
        <v>0</v>
      </c>
      <c r="O66" s="936" t="str">
        <f>IF(AND(ISNUMBER($L$1)=TRUE,ISNUMBER(O12)=TRUE,O12&gt;=$L$1-5), CONCATENATE("Last 0% tax rate year ", O12),"")</f>
        <v/>
      </c>
      <c r="P66" s="785"/>
      <c r="Q66" s="785">
        <f>IF(P66=FALSE,F66,0)</f>
        <v>0</v>
      </c>
      <c r="R66" s="171"/>
    </row>
    <row r="67" spans="1:18" ht="15" x14ac:dyDescent="0.2">
      <c r="A67" s="325">
        <v>92</v>
      </c>
      <c r="B67" s="336" t="str">
        <f>IF(C67=1,"",LOOKUP(C67,Cities!A$3:A$343,Cities!C$3:C$343))</f>
        <v/>
      </c>
      <c r="C67" s="338">
        <f t="shared" si="2"/>
        <v>1</v>
      </c>
      <c r="D67" s="337">
        <f t="shared" si="2"/>
        <v>0</v>
      </c>
      <c r="E67" s="812">
        <f>ROUND('Print Return'!$L$37*'Overflow (3)'!M13,0)</f>
        <v>0</v>
      </c>
      <c r="F67" s="955"/>
      <c r="G67" s="1524"/>
      <c r="H67" s="1524"/>
      <c r="I67" s="1525">
        <f>IF(Data!D$33=TRUE,'Overflows Worksheet'!K105,'Overflows Worksheet'!T105)</f>
        <v>0</v>
      </c>
      <c r="J67" s="1525"/>
      <c r="K67" s="853">
        <f>LOOKUP(C13,Cities!A$3:A$343,Cities!D$3:D$343)</f>
        <v>0</v>
      </c>
      <c r="L67" s="1522">
        <f t="shared" ref="L67:L110" si="3">IF(AND(I67&gt;0, OR(I67*K67&gt;10,$L$1&lt;2016)),ROUND(I67*K67,0),0)</f>
        <v>0</v>
      </c>
      <c r="M67" s="1523"/>
      <c r="N67" s="339">
        <f>LOOKUP($C13,Cities!$A$3:$A$356,Cities!$V$3:$V$356)</f>
        <v>0</v>
      </c>
      <c r="O67" s="936" t="str">
        <f t="shared" ref="O67:O110" si="4">IF(AND(ISNUMBER($L$1)=TRUE,ISNUMBER(O13)=TRUE,O13&gt;=$L$1-5), CONCATENATE("Last 0% tax rate year ", O13),"")</f>
        <v/>
      </c>
      <c r="P67" s="785"/>
      <c r="Q67" s="785">
        <f t="shared" ref="Q67:Q110" si="5">IF(P67=FALSE,F67,0)</f>
        <v>0</v>
      </c>
      <c r="R67" s="171"/>
    </row>
    <row r="68" spans="1:18" ht="15" x14ac:dyDescent="0.2">
      <c r="A68" s="325">
        <v>93</v>
      </c>
      <c r="B68" s="336" t="str">
        <f>IF(C68=1,"",LOOKUP(C68,Cities!A$3:A$343,Cities!C$3:C$343))</f>
        <v/>
      </c>
      <c r="C68" s="338">
        <f t="shared" si="2"/>
        <v>1</v>
      </c>
      <c r="D68" s="337">
        <f t="shared" si="2"/>
        <v>0</v>
      </c>
      <c r="E68" s="812">
        <f>ROUND('Print Return'!$L$37*'Overflow (3)'!M14,0)</f>
        <v>0</v>
      </c>
      <c r="F68" s="955"/>
      <c r="G68" s="1524"/>
      <c r="H68" s="1524"/>
      <c r="I68" s="1525">
        <f>IF(Data!D$33=TRUE,'Overflows Worksheet'!K106,'Overflows Worksheet'!T106)</f>
        <v>0</v>
      </c>
      <c r="J68" s="1525"/>
      <c r="K68" s="853">
        <f>LOOKUP(C14,Cities!A$3:A$343,Cities!D$3:D$343)</f>
        <v>0</v>
      </c>
      <c r="L68" s="1522">
        <f t="shared" si="3"/>
        <v>0</v>
      </c>
      <c r="M68" s="1523"/>
      <c r="N68" s="339">
        <f>LOOKUP($C14,Cities!$A$3:$A$356,Cities!$V$3:$V$356)</f>
        <v>0</v>
      </c>
      <c r="O68" s="936" t="str">
        <f t="shared" si="4"/>
        <v/>
      </c>
      <c r="P68" s="785"/>
      <c r="Q68" s="785">
        <f t="shared" si="5"/>
        <v>0</v>
      </c>
      <c r="R68" s="171"/>
    </row>
    <row r="69" spans="1:18" ht="15" x14ac:dyDescent="0.2">
      <c r="A69" s="325">
        <v>94</v>
      </c>
      <c r="B69" s="336" t="str">
        <f>IF(C69=1,"",LOOKUP(C69,Cities!A$3:A$343,Cities!C$3:C$343))</f>
        <v/>
      </c>
      <c r="C69" s="338">
        <f t="shared" si="2"/>
        <v>1</v>
      </c>
      <c r="D69" s="337">
        <f t="shared" si="2"/>
        <v>0</v>
      </c>
      <c r="E69" s="812">
        <f>ROUND('Print Return'!$L$37*'Overflow (3)'!M15,0)</f>
        <v>0</v>
      </c>
      <c r="F69" s="955"/>
      <c r="G69" s="1524"/>
      <c r="H69" s="1524"/>
      <c r="I69" s="1525">
        <f>IF(Data!D$33=TRUE,'Overflows Worksheet'!K107,'Overflows Worksheet'!T107)</f>
        <v>0</v>
      </c>
      <c r="J69" s="1525"/>
      <c r="K69" s="853">
        <f>LOOKUP(C15,Cities!A$3:A$343,Cities!D$3:D$343)</f>
        <v>0</v>
      </c>
      <c r="L69" s="1522">
        <f t="shared" si="3"/>
        <v>0</v>
      </c>
      <c r="M69" s="1523"/>
      <c r="N69" s="339">
        <f>LOOKUP($C15,Cities!$A$3:$A$356,Cities!$V$3:$V$356)</f>
        <v>0</v>
      </c>
      <c r="O69" s="936" t="str">
        <f t="shared" si="4"/>
        <v/>
      </c>
      <c r="P69" s="785"/>
      <c r="Q69" s="785">
        <f t="shared" si="5"/>
        <v>0</v>
      </c>
      <c r="R69" s="171"/>
    </row>
    <row r="70" spans="1:18" ht="15" x14ac:dyDescent="0.2">
      <c r="A70" s="325">
        <v>95</v>
      </c>
      <c r="B70" s="336" t="str">
        <f>IF(C70=1,"",LOOKUP(C70,Cities!A$3:A$343,Cities!C$3:C$343))</f>
        <v/>
      </c>
      <c r="C70" s="338">
        <f t="shared" si="2"/>
        <v>1</v>
      </c>
      <c r="D70" s="337">
        <f t="shared" si="2"/>
        <v>0</v>
      </c>
      <c r="E70" s="812">
        <f>ROUND('Print Return'!$L$37*'Overflow (3)'!M16,0)</f>
        <v>0</v>
      </c>
      <c r="F70" s="955"/>
      <c r="G70" s="1524"/>
      <c r="H70" s="1524"/>
      <c r="I70" s="1525">
        <f>IF(Data!D$33=TRUE,'Overflows Worksheet'!K108,'Overflows Worksheet'!T108)</f>
        <v>0</v>
      </c>
      <c r="J70" s="1525"/>
      <c r="K70" s="853">
        <f>LOOKUP(C16,Cities!A$3:A$343,Cities!D$3:D$343)</f>
        <v>0</v>
      </c>
      <c r="L70" s="1522">
        <f t="shared" si="3"/>
        <v>0</v>
      </c>
      <c r="M70" s="1523"/>
      <c r="N70" s="339">
        <f>LOOKUP($C16,Cities!$A$3:$A$356,Cities!$V$3:$V$356)</f>
        <v>0</v>
      </c>
      <c r="O70" s="936" t="str">
        <f t="shared" si="4"/>
        <v/>
      </c>
      <c r="P70" s="785"/>
      <c r="Q70" s="785">
        <f t="shared" si="5"/>
        <v>0</v>
      </c>
      <c r="R70" s="171"/>
    </row>
    <row r="71" spans="1:18" ht="15" x14ac:dyDescent="0.2">
      <c r="A71" s="325">
        <v>96</v>
      </c>
      <c r="B71" s="336" t="str">
        <f>IF(C71=1,"",LOOKUP(C71,Cities!A$3:A$343,Cities!C$3:C$343))</f>
        <v/>
      </c>
      <c r="C71" s="338">
        <f t="shared" si="2"/>
        <v>1</v>
      </c>
      <c r="D71" s="337">
        <f t="shared" si="2"/>
        <v>0</v>
      </c>
      <c r="E71" s="812">
        <f>ROUND('Print Return'!$L$37*'Overflow (3)'!M17,0)</f>
        <v>0</v>
      </c>
      <c r="F71" s="955"/>
      <c r="G71" s="1524"/>
      <c r="H71" s="1524"/>
      <c r="I71" s="1525">
        <f>IF(Data!D$33=TRUE,'Overflows Worksheet'!K109,'Overflows Worksheet'!T109)</f>
        <v>0</v>
      </c>
      <c r="J71" s="1525"/>
      <c r="K71" s="853">
        <f>LOOKUP(C17,Cities!A$3:A$343,Cities!D$3:D$343)</f>
        <v>0</v>
      </c>
      <c r="L71" s="1522">
        <f t="shared" si="3"/>
        <v>0</v>
      </c>
      <c r="M71" s="1523"/>
      <c r="N71" s="339">
        <f>LOOKUP($C17,Cities!$A$3:$A$356,Cities!$V$3:$V$356)</f>
        <v>0</v>
      </c>
      <c r="O71" s="936" t="str">
        <f t="shared" si="4"/>
        <v/>
      </c>
      <c r="P71" s="785"/>
      <c r="Q71" s="785">
        <f t="shared" si="5"/>
        <v>0</v>
      </c>
      <c r="R71" s="171"/>
    </row>
    <row r="72" spans="1:18" ht="15" x14ac:dyDescent="0.2">
      <c r="A72" s="325">
        <v>97</v>
      </c>
      <c r="B72" s="336" t="str">
        <f>IF(C72=1,"",LOOKUP(C72,Cities!A$3:A$343,Cities!C$3:C$343))</f>
        <v/>
      </c>
      <c r="C72" s="338">
        <f t="shared" si="2"/>
        <v>1</v>
      </c>
      <c r="D72" s="337">
        <f t="shared" si="2"/>
        <v>0</v>
      </c>
      <c r="E72" s="812">
        <f>ROUND('Print Return'!$L$37*'Overflow (3)'!M18,0)</f>
        <v>0</v>
      </c>
      <c r="F72" s="955"/>
      <c r="G72" s="1524"/>
      <c r="H72" s="1524"/>
      <c r="I72" s="1525">
        <f>IF(Data!D$33=TRUE,'Overflows Worksheet'!K110,'Overflows Worksheet'!T110)</f>
        <v>0</v>
      </c>
      <c r="J72" s="1525"/>
      <c r="K72" s="853">
        <f>LOOKUP(C18,Cities!A$3:A$343,Cities!D$3:D$343)</f>
        <v>0</v>
      </c>
      <c r="L72" s="1522">
        <f t="shared" si="3"/>
        <v>0</v>
      </c>
      <c r="M72" s="1523"/>
      <c r="N72" s="339">
        <f>LOOKUP($C18,Cities!$A$3:$A$356,Cities!$V$3:$V$356)</f>
        <v>0</v>
      </c>
      <c r="O72" s="936" t="str">
        <f t="shared" si="4"/>
        <v/>
      </c>
      <c r="P72" s="785"/>
      <c r="Q72" s="785">
        <f t="shared" si="5"/>
        <v>0</v>
      </c>
      <c r="R72" s="171"/>
    </row>
    <row r="73" spans="1:18" ht="15" x14ac:dyDescent="0.2">
      <c r="A73" s="325">
        <v>98</v>
      </c>
      <c r="B73" s="336" t="str">
        <f>IF(C73=1,"",LOOKUP(C73,Cities!A$3:A$343,Cities!C$3:C$343))</f>
        <v/>
      </c>
      <c r="C73" s="338">
        <f t="shared" si="2"/>
        <v>1</v>
      </c>
      <c r="D73" s="337">
        <f t="shared" si="2"/>
        <v>0</v>
      </c>
      <c r="E73" s="812">
        <f>ROUND('Print Return'!$L$37*'Overflow (3)'!M19,0)</f>
        <v>0</v>
      </c>
      <c r="F73" s="955"/>
      <c r="G73" s="1524"/>
      <c r="H73" s="1524"/>
      <c r="I73" s="1525">
        <f>IF(Data!D$33=TRUE,'Overflows Worksheet'!K111,'Overflows Worksheet'!T111)</f>
        <v>0</v>
      </c>
      <c r="J73" s="1525"/>
      <c r="K73" s="853">
        <f>LOOKUP(C19,Cities!A$3:A$343,Cities!D$3:D$343)</f>
        <v>0</v>
      </c>
      <c r="L73" s="1522">
        <f t="shared" si="3"/>
        <v>0</v>
      </c>
      <c r="M73" s="1523"/>
      <c r="N73" s="339">
        <f>LOOKUP($C19,Cities!$A$3:$A$356,Cities!$V$3:$V$356)</f>
        <v>0</v>
      </c>
      <c r="O73" s="936" t="str">
        <f t="shared" si="4"/>
        <v/>
      </c>
      <c r="P73" s="785"/>
      <c r="Q73" s="785">
        <f t="shared" si="5"/>
        <v>0</v>
      </c>
      <c r="R73" s="171"/>
    </row>
    <row r="74" spans="1:18" ht="15" x14ac:dyDescent="0.2">
      <c r="A74" s="325">
        <v>99</v>
      </c>
      <c r="B74" s="336" t="str">
        <f>IF(C74=1,"",LOOKUP(C74,Cities!A$3:A$343,Cities!C$3:C$343))</f>
        <v/>
      </c>
      <c r="C74" s="338">
        <f t="shared" si="2"/>
        <v>1</v>
      </c>
      <c r="D74" s="337">
        <f t="shared" si="2"/>
        <v>0</v>
      </c>
      <c r="E74" s="812">
        <f>ROUND('Print Return'!$L$37*'Overflow (3)'!M20,0)</f>
        <v>0</v>
      </c>
      <c r="F74" s="955"/>
      <c r="G74" s="1524"/>
      <c r="H74" s="1524"/>
      <c r="I74" s="1525">
        <f>IF(Data!D$33=TRUE,'Overflows Worksheet'!K112,'Overflows Worksheet'!T112)</f>
        <v>0</v>
      </c>
      <c r="J74" s="1525"/>
      <c r="K74" s="853">
        <f>LOOKUP(C20,Cities!A$3:A$343,Cities!D$3:D$343)</f>
        <v>0</v>
      </c>
      <c r="L74" s="1522">
        <f t="shared" si="3"/>
        <v>0</v>
      </c>
      <c r="M74" s="1523"/>
      <c r="N74" s="339">
        <f>LOOKUP($C20,Cities!$A$3:$A$356,Cities!$V$3:$V$356)</f>
        <v>0</v>
      </c>
      <c r="O74" s="936" t="str">
        <f t="shared" si="4"/>
        <v/>
      </c>
      <c r="P74" s="785"/>
      <c r="Q74" s="785">
        <f t="shared" si="5"/>
        <v>0</v>
      </c>
      <c r="R74" s="171"/>
    </row>
    <row r="75" spans="1:18" ht="15" x14ac:dyDescent="0.2">
      <c r="A75" s="325">
        <v>100</v>
      </c>
      <c r="B75" s="336" t="str">
        <f>IF(C75=1,"",LOOKUP(C75,Cities!A$3:A$343,Cities!C$3:C$343))</f>
        <v/>
      </c>
      <c r="C75" s="338">
        <f t="shared" si="2"/>
        <v>1</v>
      </c>
      <c r="D75" s="337">
        <f t="shared" si="2"/>
        <v>0</v>
      </c>
      <c r="E75" s="812">
        <f>ROUND('Print Return'!$L$37*'Overflow (3)'!M21,0)</f>
        <v>0</v>
      </c>
      <c r="F75" s="955"/>
      <c r="G75" s="1524"/>
      <c r="H75" s="1524"/>
      <c r="I75" s="1525">
        <f>IF(Data!D$33=TRUE,'Overflows Worksheet'!K113,'Overflows Worksheet'!T113)</f>
        <v>0</v>
      </c>
      <c r="J75" s="1525"/>
      <c r="K75" s="853">
        <f>LOOKUP(C21,Cities!A$3:A$343,Cities!D$3:D$343)</f>
        <v>0</v>
      </c>
      <c r="L75" s="1522">
        <f t="shared" si="3"/>
        <v>0</v>
      </c>
      <c r="M75" s="1523"/>
      <c r="N75" s="339">
        <f>LOOKUP($C21,Cities!$A$3:$A$356,Cities!$V$3:$V$356)</f>
        <v>0</v>
      </c>
      <c r="O75" s="936" t="str">
        <f t="shared" si="4"/>
        <v/>
      </c>
      <c r="P75" s="785"/>
      <c r="Q75" s="785">
        <f t="shared" si="5"/>
        <v>0</v>
      </c>
      <c r="R75" s="171"/>
    </row>
    <row r="76" spans="1:18" ht="15" x14ac:dyDescent="0.2">
      <c r="A76" s="325">
        <v>101</v>
      </c>
      <c r="B76" s="336" t="str">
        <f>IF(C76=1,"",LOOKUP(C76,Cities!A$3:A$343,Cities!C$3:C$343))</f>
        <v/>
      </c>
      <c r="C76" s="338">
        <f t="shared" si="2"/>
        <v>1</v>
      </c>
      <c r="D76" s="337">
        <f t="shared" si="2"/>
        <v>0</v>
      </c>
      <c r="E76" s="812">
        <f>ROUND('Print Return'!$L$37*'Overflow (3)'!M22,0)</f>
        <v>0</v>
      </c>
      <c r="F76" s="955"/>
      <c r="G76" s="1524"/>
      <c r="H76" s="1524"/>
      <c r="I76" s="1525">
        <f>IF(Data!D$33=TRUE,'Overflows Worksheet'!K114,'Overflows Worksheet'!T114)</f>
        <v>0</v>
      </c>
      <c r="J76" s="1525"/>
      <c r="K76" s="853">
        <f>LOOKUP(C22,Cities!A$3:A$343,Cities!D$3:D$343)</f>
        <v>0</v>
      </c>
      <c r="L76" s="1522">
        <f t="shared" si="3"/>
        <v>0</v>
      </c>
      <c r="M76" s="1523"/>
      <c r="N76" s="339">
        <f>LOOKUP($C22,Cities!$A$3:$A$356,Cities!$V$3:$V$356)</f>
        <v>0</v>
      </c>
      <c r="O76" s="936" t="str">
        <f t="shared" si="4"/>
        <v/>
      </c>
      <c r="P76" s="785"/>
      <c r="Q76" s="785">
        <f t="shared" si="5"/>
        <v>0</v>
      </c>
      <c r="R76" s="171"/>
    </row>
    <row r="77" spans="1:18" ht="15" x14ac:dyDescent="0.2">
      <c r="A77" s="325">
        <v>102</v>
      </c>
      <c r="B77" s="336" t="str">
        <f>IF(C77=1,"",LOOKUP(C77,Cities!A$3:A$343,Cities!C$3:C$343))</f>
        <v/>
      </c>
      <c r="C77" s="338">
        <f t="shared" si="2"/>
        <v>1</v>
      </c>
      <c r="D77" s="337">
        <f t="shared" si="2"/>
        <v>0</v>
      </c>
      <c r="E77" s="812">
        <f>ROUND('Print Return'!$L$37*'Overflow (3)'!M23,0)</f>
        <v>0</v>
      </c>
      <c r="F77" s="955"/>
      <c r="G77" s="1524"/>
      <c r="H77" s="1524"/>
      <c r="I77" s="1525">
        <f>IF(Data!D$33=TRUE,'Overflows Worksheet'!K115,'Overflows Worksheet'!T115)</f>
        <v>0</v>
      </c>
      <c r="J77" s="1525"/>
      <c r="K77" s="853">
        <f>LOOKUP(C23,Cities!A$3:A$343,Cities!D$3:D$343)</f>
        <v>0</v>
      </c>
      <c r="L77" s="1522">
        <f t="shared" si="3"/>
        <v>0</v>
      </c>
      <c r="M77" s="1523"/>
      <c r="N77" s="339">
        <f>LOOKUP($C23,Cities!$A$3:$A$356,Cities!$V$3:$V$356)</f>
        <v>0</v>
      </c>
      <c r="O77" s="936" t="str">
        <f t="shared" si="4"/>
        <v/>
      </c>
      <c r="P77" s="785"/>
      <c r="Q77" s="785">
        <f t="shared" si="5"/>
        <v>0</v>
      </c>
      <c r="R77" s="171"/>
    </row>
    <row r="78" spans="1:18" ht="15" x14ac:dyDescent="0.2">
      <c r="A78" s="325">
        <v>103</v>
      </c>
      <c r="B78" s="336" t="str">
        <f>IF(C78=1,"",LOOKUP(C78,Cities!A$3:A$343,Cities!C$3:C$343))</f>
        <v/>
      </c>
      <c r="C78" s="338">
        <f t="shared" si="2"/>
        <v>1</v>
      </c>
      <c r="D78" s="337">
        <f t="shared" si="2"/>
        <v>0</v>
      </c>
      <c r="E78" s="812">
        <f>ROUND('Print Return'!$L$37*'Overflow (3)'!M24,0)</f>
        <v>0</v>
      </c>
      <c r="F78" s="955"/>
      <c r="G78" s="1524"/>
      <c r="H78" s="1524"/>
      <c r="I78" s="1525">
        <f>IF(Data!D$33=TRUE,'Overflows Worksheet'!K116,'Overflows Worksheet'!T116)</f>
        <v>0</v>
      </c>
      <c r="J78" s="1525"/>
      <c r="K78" s="853">
        <f>LOOKUP(C24,Cities!A$3:A$343,Cities!D$3:D$343)</f>
        <v>0</v>
      </c>
      <c r="L78" s="1522">
        <f t="shared" si="3"/>
        <v>0</v>
      </c>
      <c r="M78" s="1523"/>
      <c r="N78" s="339">
        <f>LOOKUP($C24,Cities!$A$3:$A$356,Cities!$V$3:$V$356)</f>
        <v>0</v>
      </c>
      <c r="O78" s="936" t="str">
        <f t="shared" si="4"/>
        <v/>
      </c>
      <c r="P78" s="785"/>
      <c r="Q78" s="785">
        <f t="shared" si="5"/>
        <v>0</v>
      </c>
      <c r="R78" s="171"/>
    </row>
    <row r="79" spans="1:18" ht="15" x14ac:dyDescent="0.2">
      <c r="A79" s="325">
        <v>104</v>
      </c>
      <c r="B79" s="336" t="str">
        <f>IF(C79=1,"",LOOKUP(C79,Cities!A$3:A$343,Cities!C$3:C$343))</f>
        <v/>
      </c>
      <c r="C79" s="338">
        <f t="shared" si="2"/>
        <v>1</v>
      </c>
      <c r="D79" s="337">
        <f t="shared" si="2"/>
        <v>0</v>
      </c>
      <c r="E79" s="812">
        <f>ROUND('Print Return'!$L$37*'Overflow (3)'!M25,0)</f>
        <v>0</v>
      </c>
      <c r="F79" s="955"/>
      <c r="G79" s="1524"/>
      <c r="H79" s="1524"/>
      <c r="I79" s="1525">
        <f>IF(Data!D$33=TRUE,'Overflows Worksheet'!K117,'Overflows Worksheet'!T117)</f>
        <v>0</v>
      </c>
      <c r="J79" s="1525"/>
      <c r="K79" s="853">
        <f>LOOKUP(C25,Cities!A$3:A$343,Cities!D$3:D$343)</f>
        <v>0</v>
      </c>
      <c r="L79" s="1522">
        <f t="shared" si="3"/>
        <v>0</v>
      </c>
      <c r="M79" s="1523"/>
      <c r="N79" s="339">
        <f>LOOKUP($C25,Cities!$A$3:$A$356,Cities!$V$3:$V$356)</f>
        <v>0</v>
      </c>
      <c r="O79" s="936" t="str">
        <f t="shared" si="4"/>
        <v/>
      </c>
      <c r="P79" s="785"/>
      <c r="Q79" s="785">
        <f t="shared" si="5"/>
        <v>0</v>
      </c>
      <c r="R79" s="171"/>
    </row>
    <row r="80" spans="1:18" ht="15" x14ac:dyDescent="0.2">
      <c r="A80" s="325">
        <v>105</v>
      </c>
      <c r="B80" s="336" t="str">
        <f>IF(C80=1,"",LOOKUP(C80,Cities!A$3:A$343,Cities!C$3:C$343))</f>
        <v/>
      </c>
      <c r="C80" s="338">
        <f t="shared" si="2"/>
        <v>1</v>
      </c>
      <c r="D80" s="337">
        <f t="shared" si="2"/>
        <v>0</v>
      </c>
      <c r="E80" s="812">
        <f>ROUND('Print Return'!$L$37*'Overflow (3)'!M26,0)</f>
        <v>0</v>
      </c>
      <c r="F80" s="955"/>
      <c r="G80" s="1524"/>
      <c r="H80" s="1524"/>
      <c r="I80" s="1525">
        <f>IF(Data!D$33=TRUE,'Overflows Worksheet'!K118,'Overflows Worksheet'!T118)</f>
        <v>0</v>
      </c>
      <c r="J80" s="1525"/>
      <c r="K80" s="853">
        <f>LOOKUP(C26,Cities!A$3:A$343,Cities!D$3:D$343)</f>
        <v>0</v>
      </c>
      <c r="L80" s="1522">
        <f t="shared" si="3"/>
        <v>0</v>
      </c>
      <c r="M80" s="1523"/>
      <c r="N80" s="339">
        <f>LOOKUP($C26,Cities!$A$3:$A$356,Cities!$V$3:$V$356)</f>
        <v>0</v>
      </c>
      <c r="O80" s="936" t="str">
        <f t="shared" si="4"/>
        <v/>
      </c>
      <c r="P80" s="785"/>
      <c r="Q80" s="785">
        <f t="shared" si="5"/>
        <v>0</v>
      </c>
      <c r="R80" s="171"/>
    </row>
    <row r="81" spans="1:18" ht="15" x14ac:dyDescent="0.2">
      <c r="A81" s="325">
        <v>106</v>
      </c>
      <c r="B81" s="336" t="str">
        <f>IF(C81=1,"",LOOKUP(C81,Cities!A$3:A$343,Cities!C$3:C$343))</f>
        <v/>
      </c>
      <c r="C81" s="338">
        <f t="shared" si="2"/>
        <v>1</v>
      </c>
      <c r="D81" s="337">
        <f t="shared" si="2"/>
        <v>0</v>
      </c>
      <c r="E81" s="812">
        <f>ROUND('Print Return'!$L$37*'Overflow (3)'!M27,0)</f>
        <v>0</v>
      </c>
      <c r="F81" s="955"/>
      <c r="G81" s="1524"/>
      <c r="H81" s="1524"/>
      <c r="I81" s="1525">
        <f>IF(Data!D$33=TRUE,'Overflows Worksheet'!K119,'Overflows Worksheet'!T119)</f>
        <v>0</v>
      </c>
      <c r="J81" s="1525"/>
      <c r="K81" s="853">
        <f>LOOKUP(C27,Cities!A$3:A$343,Cities!D$3:D$343)</f>
        <v>0</v>
      </c>
      <c r="L81" s="1522">
        <f t="shared" si="3"/>
        <v>0</v>
      </c>
      <c r="M81" s="1523"/>
      <c r="N81" s="339">
        <f>LOOKUP($C27,Cities!$A$3:$A$356,Cities!$V$3:$V$356)</f>
        <v>0</v>
      </c>
      <c r="O81" s="936" t="str">
        <f t="shared" si="4"/>
        <v/>
      </c>
      <c r="P81" s="785"/>
      <c r="Q81" s="785">
        <f t="shared" si="5"/>
        <v>0</v>
      </c>
      <c r="R81" s="171"/>
    </row>
    <row r="82" spans="1:18" ht="15" x14ac:dyDescent="0.2">
      <c r="A82" s="325">
        <v>107</v>
      </c>
      <c r="B82" s="336" t="str">
        <f>IF(C82=1,"",LOOKUP(C82,Cities!A$3:A$343,Cities!C$3:C$343))</f>
        <v/>
      </c>
      <c r="C82" s="338">
        <f t="shared" si="2"/>
        <v>1</v>
      </c>
      <c r="D82" s="337">
        <f t="shared" si="2"/>
        <v>0</v>
      </c>
      <c r="E82" s="812">
        <f>ROUND('Print Return'!$L$37*'Overflow (3)'!M28,0)</f>
        <v>0</v>
      </c>
      <c r="F82" s="955"/>
      <c r="G82" s="1524"/>
      <c r="H82" s="1524"/>
      <c r="I82" s="1525">
        <f>IF(Data!D$33=TRUE,'Overflows Worksheet'!K120,'Overflows Worksheet'!T120)</f>
        <v>0</v>
      </c>
      <c r="J82" s="1525"/>
      <c r="K82" s="853">
        <f>LOOKUP(C28,Cities!A$3:A$343,Cities!D$3:D$343)</f>
        <v>0</v>
      </c>
      <c r="L82" s="1522">
        <f t="shared" si="3"/>
        <v>0</v>
      </c>
      <c r="M82" s="1523"/>
      <c r="N82" s="339">
        <f>LOOKUP($C28,Cities!$A$3:$A$356,Cities!$V$3:$V$356)</f>
        <v>0</v>
      </c>
      <c r="O82" s="936" t="str">
        <f t="shared" si="4"/>
        <v/>
      </c>
      <c r="P82" s="785"/>
      <c r="Q82" s="785">
        <f t="shared" si="5"/>
        <v>0</v>
      </c>
      <c r="R82" s="171"/>
    </row>
    <row r="83" spans="1:18" ht="15" x14ac:dyDescent="0.2">
      <c r="A83" s="325">
        <v>108</v>
      </c>
      <c r="B83" s="336" t="str">
        <f>IF(C83=1,"",LOOKUP(C83,Cities!A$3:A$343,Cities!C$3:C$343))</f>
        <v/>
      </c>
      <c r="C83" s="338">
        <f t="shared" si="2"/>
        <v>1</v>
      </c>
      <c r="D83" s="337">
        <f t="shared" si="2"/>
        <v>0</v>
      </c>
      <c r="E83" s="812">
        <f>ROUND('Print Return'!$L$37*'Overflow (3)'!M29,0)</f>
        <v>0</v>
      </c>
      <c r="F83" s="955"/>
      <c r="G83" s="1524"/>
      <c r="H83" s="1524"/>
      <c r="I83" s="1525">
        <f>IF(Data!D$33=TRUE,'Overflows Worksheet'!K121,'Overflows Worksheet'!T121)</f>
        <v>0</v>
      </c>
      <c r="J83" s="1525"/>
      <c r="K83" s="853">
        <f>LOOKUP(C29,Cities!A$3:A$343,Cities!D$3:D$343)</f>
        <v>0</v>
      </c>
      <c r="L83" s="1522">
        <f t="shared" si="3"/>
        <v>0</v>
      </c>
      <c r="M83" s="1523"/>
      <c r="N83" s="339">
        <f>LOOKUP($C29,Cities!$A$3:$A$356,Cities!$V$3:$V$356)</f>
        <v>0</v>
      </c>
      <c r="O83" s="936" t="str">
        <f t="shared" si="4"/>
        <v/>
      </c>
      <c r="P83" s="785"/>
      <c r="Q83" s="785">
        <f t="shared" si="5"/>
        <v>0</v>
      </c>
      <c r="R83" s="171"/>
    </row>
    <row r="84" spans="1:18" ht="15" x14ac:dyDescent="0.2">
      <c r="A84" s="325">
        <v>109</v>
      </c>
      <c r="B84" s="336" t="str">
        <f>IF(C84=1,"",LOOKUP(C84,Cities!A$3:A$343,Cities!C$3:C$343))</f>
        <v/>
      </c>
      <c r="C84" s="338">
        <f t="shared" si="2"/>
        <v>1</v>
      </c>
      <c r="D84" s="337">
        <f t="shared" si="2"/>
        <v>0</v>
      </c>
      <c r="E84" s="812">
        <f>ROUND('Print Return'!$L$37*'Overflow (3)'!M30,0)</f>
        <v>0</v>
      </c>
      <c r="F84" s="955"/>
      <c r="G84" s="1524"/>
      <c r="H84" s="1524"/>
      <c r="I84" s="1525">
        <f>IF(Data!D$33=TRUE,'Overflows Worksheet'!K122,'Overflows Worksheet'!T122)</f>
        <v>0</v>
      </c>
      <c r="J84" s="1525"/>
      <c r="K84" s="853">
        <f>LOOKUP(C30,Cities!A$3:A$343,Cities!D$3:D$343)</f>
        <v>0</v>
      </c>
      <c r="L84" s="1522">
        <f t="shared" si="3"/>
        <v>0</v>
      </c>
      <c r="M84" s="1523"/>
      <c r="N84" s="339">
        <f>LOOKUP($C30,Cities!$A$3:$A$356,Cities!$V$3:$V$356)</f>
        <v>0</v>
      </c>
      <c r="O84" s="936" t="str">
        <f t="shared" si="4"/>
        <v/>
      </c>
      <c r="P84" s="785"/>
      <c r="Q84" s="785">
        <f t="shared" si="5"/>
        <v>0</v>
      </c>
      <c r="R84" s="171"/>
    </row>
    <row r="85" spans="1:18" ht="15" x14ac:dyDescent="0.2">
      <c r="A85" s="325">
        <v>110</v>
      </c>
      <c r="B85" s="336" t="str">
        <f>IF(C85=1,"",LOOKUP(C85,Cities!A$3:A$343,Cities!C$3:C$343))</f>
        <v/>
      </c>
      <c r="C85" s="338">
        <f t="shared" si="2"/>
        <v>1</v>
      </c>
      <c r="D85" s="337">
        <f t="shared" si="2"/>
        <v>0</v>
      </c>
      <c r="E85" s="812">
        <f>ROUND('Print Return'!$L$37*'Overflow (3)'!M31,0)</f>
        <v>0</v>
      </c>
      <c r="F85" s="955"/>
      <c r="G85" s="1524"/>
      <c r="H85" s="1524"/>
      <c r="I85" s="1525">
        <f>IF(Data!D$33=TRUE,'Overflows Worksheet'!K123,'Overflows Worksheet'!T123)</f>
        <v>0</v>
      </c>
      <c r="J85" s="1525"/>
      <c r="K85" s="853">
        <f>LOOKUP(C31,Cities!A$3:A$343,Cities!D$3:D$343)</f>
        <v>0</v>
      </c>
      <c r="L85" s="1522">
        <f t="shared" si="3"/>
        <v>0</v>
      </c>
      <c r="M85" s="1523"/>
      <c r="N85" s="339">
        <f>LOOKUP($C31,Cities!$A$3:$A$356,Cities!$V$3:$V$356)</f>
        <v>0</v>
      </c>
      <c r="O85" s="936" t="str">
        <f t="shared" si="4"/>
        <v/>
      </c>
      <c r="P85" s="785"/>
      <c r="Q85" s="785">
        <f t="shared" si="5"/>
        <v>0</v>
      </c>
      <c r="R85" s="171"/>
    </row>
    <row r="86" spans="1:18" ht="15" x14ac:dyDescent="0.2">
      <c r="A86" s="325">
        <v>111</v>
      </c>
      <c r="B86" s="336" t="str">
        <f>IF(C86=1,"",LOOKUP(C86,Cities!A$3:A$343,Cities!C$3:C$343))</f>
        <v/>
      </c>
      <c r="C86" s="338">
        <f t="shared" ref="C86:D105" si="6">+C32</f>
        <v>1</v>
      </c>
      <c r="D86" s="337">
        <f t="shared" si="6"/>
        <v>0</v>
      </c>
      <c r="E86" s="812">
        <f>ROUND('Print Return'!$L$37*'Overflow (3)'!M32,0)</f>
        <v>0</v>
      </c>
      <c r="F86" s="955"/>
      <c r="G86" s="1524"/>
      <c r="H86" s="1524"/>
      <c r="I86" s="1525">
        <f>IF(Data!D$33=TRUE,'Overflows Worksheet'!K124,'Overflows Worksheet'!T124)</f>
        <v>0</v>
      </c>
      <c r="J86" s="1525"/>
      <c r="K86" s="853">
        <f>LOOKUP(C32,Cities!A$3:A$343,Cities!D$3:D$343)</f>
        <v>0</v>
      </c>
      <c r="L86" s="1522">
        <f t="shared" si="3"/>
        <v>0</v>
      </c>
      <c r="M86" s="1523"/>
      <c r="N86" s="339">
        <f>LOOKUP($C32,Cities!$A$3:$A$356,Cities!$V$3:$V$356)</f>
        <v>0</v>
      </c>
      <c r="O86" s="936" t="str">
        <f t="shared" si="4"/>
        <v/>
      </c>
      <c r="P86" s="785"/>
      <c r="Q86" s="785">
        <f t="shared" si="5"/>
        <v>0</v>
      </c>
      <c r="R86" s="171"/>
    </row>
    <row r="87" spans="1:18" ht="15" x14ac:dyDescent="0.2">
      <c r="A87" s="325">
        <v>112</v>
      </c>
      <c r="B87" s="336" t="str">
        <f>IF(C87=1,"",LOOKUP(C87,Cities!A$3:A$343,Cities!C$3:C$343))</f>
        <v/>
      </c>
      <c r="C87" s="338">
        <f t="shared" si="6"/>
        <v>1</v>
      </c>
      <c r="D87" s="337">
        <f t="shared" si="6"/>
        <v>0</v>
      </c>
      <c r="E87" s="812">
        <f>ROUND('Print Return'!$L$37*'Overflow (3)'!M33,0)</f>
        <v>0</v>
      </c>
      <c r="F87" s="955"/>
      <c r="G87" s="1524"/>
      <c r="H87" s="1524"/>
      <c r="I87" s="1525">
        <f>IF(Data!D$33=TRUE,'Overflows Worksheet'!K125,'Overflows Worksheet'!T125)</f>
        <v>0</v>
      </c>
      <c r="J87" s="1525"/>
      <c r="K87" s="853">
        <f>LOOKUP(C33,Cities!A$3:A$343,Cities!D$3:D$343)</f>
        <v>0</v>
      </c>
      <c r="L87" s="1522">
        <f t="shared" si="3"/>
        <v>0</v>
      </c>
      <c r="M87" s="1523"/>
      <c r="N87" s="339">
        <f>LOOKUP($C33,Cities!$A$3:$A$356,Cities!$V$3:$V$356)</f>
        <v>0</v>
      </c>
      <c r="O87" s="936" t="str">
        <f t="shared" si="4"/>
        <v/>
      </c>
      <c r="P87" s="785"/>
      <c r="Q87" s="785">
        <f t="shared" si="5"/>
        <v>0</v>
      </c>
      <c r="R87" s="171"/>
    </row>
    <row r="88" spans="1:18" ht="15" x14ac:dyDescent="0.2">
      <c r="A88" s="325">
        <v>113</v>
      </c>
      <c r="B88" s="336" t="str">
        <f>IF(C88=1,"",LOOKUP(C88,Cities!A$3:A$343,Cities!C$3:C$343))</f>
        <v/>
      </c>
      <c r="C88" s="338">
        <f t="shared" si="6"/>
        <v>1</v>
      </c>
      <c r="D88" s="337">
        <f t="shared" si="6"/>
        <v>0</v>
      </c>
      <c r="E88" s="812">
        <f>ROUND('Print Return'!$L$37*'Overflow (3)'!M34,0)</f>
        <v>0</v>
      </c>
      <c r="F88" s="955"/>
      <c r="G88" s="1524"/>
      <c r="H88" s="1524"/>
      <c r="I88" s="1525">
        <f>IF(Data!D$33=TRUE,'Overflows Worksheet'!K126,'Overflows Worksheet'!T126)</f>
        <v>0</v>
      </c>
      <c r="J88" s="1525"/>
      <c r="K88" s="853">
        <f>LOOKUP(C34,Cities!A$3:A$343,Cities!D$3:D$343)</f>
        <v>0</v>
      </c>
      <c r="L88" s="1522">
        <f t="shared" si="3"/>
        <v>0</v>
      </c>
      <c r="M88" s="1523"/>
      <c r="N88" s="339">
        <f>LOOKUP($C34,Cities!$A$3:$A$356,Cities!$V$3:$V$356)</f>
        <v>0</v>
      </c>
      <c r="O88" s="936" t="str">
        <f t="shared" si="4"/>
        <v/>
      </c>
      <c r="P88" s="785"/>
      <c r="Q88" s="785">
        <f t="shared" si="5"/>
        <v>0</v>
      </c>
      <c r="R88" s="171"/>
    </row>
    <row r="89" spans="1:18" ht="15" x14ac:dyDescent="0.2">
      <c r="A89" s="325">
        <v>114</v>
      </c>
      <c r="B89" s="336" t="str">
        <f>IF(C89=1,"",LOOKUP(C89,Cities!A$3:A$343,Cities!C$3:C$343))</f>
        <v/>
      </c>
      <c r="C89" s="338">
        <f t="shared" si="6"/>
        <v>1</v>
      </c>
      <c r="D89" s="337">
        <f t="shared" si="6"/>
        <v>0</v>
      </c>
      <c r="E89" s="812">
        <f>ROUND('Print Return'!$L$37*'Overflow (3)'!M35,0)</f>
        <v>0</v>
      </c>
      <c r="F89" s="955"/>
      <c r="G89" s="1524"/>
      <c r="H89" s="1524"/>
      <c r="I89" s="1525">
        <f>IF(Data!D$33=TRUE,'Overflows Worksheet'!K127,'Overflows Worksheet'!T127)</f>
        <v>0</v>
      </c>
      <c r="J89" s="1525"/>
      <c r="K89" s="853">
        <f>LOOKUP(C35,Cities!A$3:A$343,Cities!D$3:D$343)</f>
        <v>0</v>
      </c>
      <c r="L89" s="1522">
        <f t="shared" si="3"/>
        <v>0</v>
      </c>
      <c r="M89" s="1523"/>
      <c r="N89" s="339">
        <f>LOOKUP($C35,Cities!$A$3:$A$356,Cities!$V$3:$V$356)</f>
        <v>0</v>
      </c>
      <c r="O89" s="936" t="str">
        <f t="shared" si="4"/>
        <v/>
      </c>
      <c r="P89" s="785"/>
      <c r="Q89" s="785">
        <f t="shared" si="5"/>
        <v>0</v>
      </c>
      <c r="R89" s="171"/>
    </row>
    <row r="90" spans="1:18" ht="15" x14ac:dyDescent="0.2">
      <c r="A90" s="325">
        <v>115</v>
      </c>
      <c r="B90" s="336" t="str">
        <f>IF(C90=1,"",LOOKUP(C90,Cities!A$3:A$343,Cities!C$3:C$343))</f>
        <v/>
      </c>
      <c r="C90" s="338">
        <f t="shared" si="6"/>
        <v>1</v>
      </c>
      <c r="D90" s="337">
        <f t="shared" si="6"/>
        <v>0</v>
      </c>
      <c r="E90" s="812">
        <f>ROUND('Print Return'!$L$37*'Overflow (3)'!M36,0)</f>
        <v>0</v>
      </c>
      <c r="F90" s="955"/>
      <c r="G90" s="1524"/>
      <c r="H90" s="1524"/>
      <c r="I90" s="1525">
        <f>IF(Data!D$33=TRUE,'Overflows Worksheet'!K128,'Overflows Worksheet'!T128)</f>
        <v>0</v>
      </c>
      <c r="J90" s="1525"/>
      <c r="K90" s="853">
        <f>LOOKUP(C36,Cities!A$3:A$343,Cities!D$3:D$343)</f>
        <v>0</v>
      </c>
      <c r="L90" s="1522">
        <f t="shared" si="3"/>
        <v>0</v>
      </c>
      <c r="M90" s="1523"/>
      <c r="N90" s="339">
        <f>LOOKUP($C36,Cities!$A$3:$A$356,Cities!$V$3:$V$356)</f>
        <v>0</v>
      </c>
      <c r="O90" s="936" t="str">
        <f t="shared" si="4"/>
        <v/>
      </c>
      <c r="P90" s="785"/>
      <c r="Q90" s="785">
        <f t="shared" si="5"/>
        <v>0</v>
      </c>
      <c r="R90" s="171"/>
    </row>
    <row r="91" spans="1:18" ht="15" x14ac:dyDescent="0.2">
      <c r="A91" s="325">
        <v>116</v>
      </c>
      <c r="B91" s="336" t="str">
        <f>IF(C91=1,"",LOOKUP(C91,Cities!A$3:A$343,Cities!C$3:C$343))</f>
        <v/>
      </c>
      <c r="C91" s="338">
        <f t="shared" si="6"/>
        <v>1</v>
      </c>
      <c r="D91" s="337">
        <f t="shared" si="6"/>
        <v>0</v>
      </c>
      <c r="E91" s="812">
        <f>ROUND('Print Return'!$L$37*'Overflow (3)'!M37,0)</f>
        <v>0</v>
      </c>
      <c r="F91" s="955"/>
      <c r="G91" s="1524"/>
      <c r="H91" s="1524"/>
      <c r="I91" s="1525">
        <f>IF(Data!D$33=TRUE,'Overflows Worksheet'!K129,'Overflows Worksheet'!T129)</f>
        <v>0</v>
      </c>
      <c r="J91" s="1525"/>
      <c r="K91" s="853">
        <f>LOOKUP(C37,Cities!A$3:A$343,Cities!D$3:D$343)</f>
        <v>0</v>
      </c>
      <c r="L91" s="1522">
        <f t="shared" si="3"/>
        <v>0</v>
      </c>
      <c r="M91" s="1523"/>
      <c r="N91" s="339">
        <f>LOOKUP($C37,Cities!$A$3:$A$356,Cities!$V$3:$V$356)</f>
        <v>0</v>
      </c>
      <c r="O91" s="936" t="str">
        <f t="shared" si="4"/>
        <v/>
      </c>
      <c r="P91" s="785"/>
      <c r="Q91" s="785">
        <f t="shared" si="5"/>
        <v>0</v>
      </c>
      <c r="R91" s="171"/>
    </row>
    <row r="92" spans="1:18" ht="15" x14ac:dyDescent="0.2">
      <c r="A92" s="325">
        <v>117</v>
      </c>
      <c r="B92" s="336" t="str">
        <f>IF(C92=1,"",LOOKUP(C92,Cities!A$3:A$343,Cities!C$3:C$343))</f>
        <v/>
      </c>
      <c r="C92" s="338">
        <f t="shared" si="6"/>
        <v>1</v>
      </c>
      <c r="D92" s="337">
        <f t="shared" si="6"/>
        <v>0</v>
      </c>
      <c r="E92" s="812">
        <f>ROUND('Print Return'!$L$37*'Overflow (3)'!M38,0)</f>
        <v>0</v>
      </c>
      <c r="F92" s="955"/>
      <c r="G92" s="1524"/>
      <c r="H92" s="1524"/>
      <c r="I92" s="1525">
        <f>IF(Data!D$33=TRUE,'Overflows Worksheet'!K130,'Overflows Worksheet'!T130)</f>
        <v>0</v>
      </c>
      <c r="J92" s="1525"/>
      <c r="K92" s="853">
        <f>LOOKUP(C38,Cities!A$3:A$343,Cities!D$3:D$343)</f>
        <v>0</v>
      </c>
      <c r="L92" s="1522">
        <f t="shared" si="3"/>
        <v>0</v>
      </c>
      <c r="M92" s="1523"/>
      <c r="N92" s="339">
        <f>LOOKUP($C38,Cities!$A$3:$A$356,Cities!$V$3:$V$356)</f>
        <v>0</v>
      </c>
      <c r="O92" s="936" t="str">
        <f t="shared" si="4"/>
        <v/>
      </c>
      <c r="P92" s="785"/>
      <c r="Q92" s="785">
        <f t="shared" si="5"/>
        <v>0</v>
      </c>
      <c r="R92" s="171"/>
    </row>
    <row r="93" spans="1:18" ht="15" x14ac:dyDescent="0.2">
      <c r="A93" s="325">
        <v>118</v>
      </c>
      <c r="B93" s="336" t="str">
        <f>IF(C93=1,"",LOOKUP(C93,Cities!A$3:A$343,Cities!C$3:C$343))</f>
        <v/>
      </c>
      <c r="C93" s="338">
        <f t="shared" si="6"/>
        <v>1</v>
      </c>
      <c r="D93" s="337">
        <f t="shared" si="6"/>
        <v>0</v>
      </c>
      <c r="E93" s="812">
        <f>ROUND('Print Return'!$L$37*'Overflow (3)'!M39,0)</f>
        <v>0</v>
      </c>
      <c r="F93" s="955"/>
      <c r="G93" s="1524"/>
      <c r="H93" s="1524"/>
      <c r="I93" s="1525">
        <f>IF(Data!D$33=TRUE,'Overflows Worksheet'!K131,'Overflows Worksheet'!T131)</f>
        <v>0</v>
      </c>
      <c r="J93" s="1525"/>
      <c r="K93" s="853">
        <f>LOOKUP(C39,Cities!A$3:A$343,Cities!D$3:D$343)</f>
        <v>0</v>
      </c>
      <c r="L93" s="1522">
        <f t="shared" si="3"/>
        <v>0</v>
      </c>
      <c r="M93" s="1523"/>
      <c r="N93" s="339">
        <f>LOOKUP($C39,Cities!$A$3:$A$356,Cities!$V$3:$V$356)</f>
        <v>0</v>
      </c>
      <c r="O93" s="936" t="str">
        <f t="shared" si="4"/>
        <v/>
      </c>
      <c r="P93" s="785"/>
      <c r="Q93" s="785">
        <f t="shared" si="5"/>
        <v>0</v>
      </c>
      <c r="R93" s="171"/>
    </row>
    <row r="94" spans="1:18" ht="15" x14ac:dyDescent="0.2">
      <c r="A94" s="325">
        <v>119</v>
      </c>
      <c r="B94" s="336" t="str">
        <f>IF(C94=1,"",LOOKUP(C94,Cities!A$3:A$343,Cities!C$3:C$343))</f>
        <v/>
      </c>
      <c r="C94" s="338">
        <f t="shared" si="6"/>
        <v>1</v>
      </c>
      <c r="D94" s="337">
        <f t="shared" si="6"/>
        <v>0</v>
      </c>
      <c r="E94" s="812">
        <f>ROUND('Print Return'!$L$37*'Overflow (3)'!M40,0)</f>
        <v>0</v>
      </c>
      <c r="F94" s="955"/>
      <c r="G94" s="1524"/>
      <c r="H94" s="1524"/>
      <c r="I94" s="1525">
        <f>IF(Data!D$33=TRUE,'Overflows Worksheet'!K132,'Overflows Worksheet'!T132)</f>
        <v>0</v>
      </c>
      <c r="J94" s="1525"/>
      <c r="K94" s="853">
        <f>LOOKUP(C40,Cities!A$3:A$343,Cities!D$3:D$343)</f>
        <v>0</v>
      </c>
      <c r="L94" s="1522">
        <f t="shared" si="3"/>
        <v>0</v>
      </c>
      <c r="M94" s="1523"/>
      <c r="N94" s="339">
        <f>LOOKUP($C40,Cities!$A$3:$A$356,Cities!$V$3:$V$356)</f>
        <v>0</v>
      </c>
      <c r="O94" s="936" t="str">
        <f t="shared" si="4"/>
        <v/>
      </c>
      <c r="P94" s="785"/>
      <c r="Q94" s="785">
        <f t="shared" si="5"/>
        <v>0</v>
      </c>
      <c r="R94" s="171"/>
    </row>
    <row r="95" spans="1:18" ht="15" x14ac:dyDescent="0.2">
      <c r="A95" s="325">
        <v>120</v>
      </c>
      <c r="B95" s="336" t="str">
        <f>IF(C95=1,"",LOOKUP(C95,Cities!A$3:A$343,Cities!C$3:C$343))</f>
        <v/>
      </c>
      <c r="C95" s="338">
        <f t="shared" si="6"/>
        <v>1</v>
      </c>
      <c r="D95" s="337">
        <f t="shared" si="6"/>
        <v>0</v>
      </c>
      <c r="E95" s="812">
        <f>ROUND('Print Return'!$L$37*'Overflow (3)'!M41,0)</f>
        <v>0</v>
      </c>
      <c r="F95" s="955"/>
      <c r="G95" s="1524"/>
      <c r="H95" s="1524"/>
      <c r="I95" s="1525">
        <f>IF(Data!D$33=TRUE,'Overflows Worksheet'!K133,'Overflows Worksheet'!T133)</f>
        <v>0</v>
      </c>
      <c r="J95" s="1525"/>
      <c r="K95" s="853">
        <f>LOOKUP(C41,Cities!A$3:A$343,Cities!D$3:D$343)</f>
        <v>0</v>
      </c>
      <c r="L95" s="1522">
        <f t="shared" si="3"/>
        <v>0</v>
      </c>
      <c r="M95" s="1523"/>
      <c r="N95" s="339">
        <f>LOOKUP($C41,Cities!$A$3:$A$356,Cities!$V$3:$V$356)</f>
        <v>0</v>
      </c>
      <c r="O95" s="936" t="str">
        <f t="shared" si="4"/>
        <v/>
      </c>
      <c r="P95" s="785"/>
      <c r="Q95" s="785">
        <f t="shared" si="5"/>
        <v>0</v>
      </c>
      <c r="R95" s="171"/>
    </row>
    <row r="96" spans="1:18" ht="15" x14ac:dyDescent="0.2">
      <c r="A96" s="325">
        <v>121</v>
      </c>
      <c r="B96" s="336" t="str">
        <f>IF(C96=1,"",LOOKUP(C96,Cities!A$3:A$343,Cities!C$3:C$343))</f>
        <v/>
      </c>
      <c r="C96" s="338">
        <f t="shared" si="6"/>
        <v>1</v>
      </c>
      <c r="D96" s="337">
        <f t="shared" si="6"/>
        <v>0</v>
      </c>
      <c r="E96" s="812">
        <f>ROUND('Print Return'!$L$37*'Overflow (3)'!M42,0)</f>
        <v>0</v>
      </c>
      <c r="F96" s="955"/>
      <c r="G96" s="1524"/>
      <c r="H96" s="1524"/>
      <c r="I96" s="1525">
        <f>IF(Data!D$33=TRUE,'Overflows Worksheet'!K134,'Overflows Worksheet'!T134)</f>
        <v>0</v>
      </c>
      <c r="J96" s="1525"/>
      <c r="K96" s="853">
        <f>LOOKUP(C42,Cities!A$3:A$343,Cities!D$3:D$343)</f>
        <v>0</v>
      </c>
      <c r="L96" s="1522">
        <f t="shared" si="3"/>
        <v>0</v>
      </c>
      <c r="M96" s="1523"/>
      <c r="N96" s="339">
        <f>LOOKUP($C42,Cities!$A$3:$A$356,Cities!$V$3:$V$356)</f>
        <v>0</v>
      </c>
      <c r="O96" s="936" t="str">
        <f t="shared" si="4"/>
        <v/>
      </c>
      <c r="P96" s="785"/>
      <c r="Q96" s="785">
        <f t="shared" si="5"/>
        <v>0</v>
      </c>
      <c r="R96" s="171"/>
    </row>
    <row r="97" spans="1:18" ht="15" x14ac:dyDescent="0.2">
      <c r="A97" s="325">
        <v>122</v>
      </c>
      <c r="B97" s="336" t="str">
        <f>IF(C97=1,"",LOOKUP(C97,Cities!A$3:A$343,Cities!C$3:C$343))</f>
        <v/>
      </c>
      <c r="C97" s="338">
        <f t="shared" si="6"/>
        <v>1</v>
      </c>
      <c r="D97" s="337">
        <f t="shared" si="6"/>
        <v>0</v>
      </c>
      <c r="E97" s="812">
        <f>ROUND('Print Return'!$L$37*'Overflow (3)'!M43,0)</f>
        <v>0</v>
      </c>
      <c r="F97" s="955"/>
      <c r="G97" s="1524"/>
      <c r="H97" s="1524"/>
      <c r="I97" s="1525">
        <f>IF(Data!D$33=TRUE,'Overflows Worksheet'!K135,'Overflows Worksheet'!T135)</f>
        <v>0</v>
      </c>
      <c r="J97" s="1525"/>
      <c r="K97" s="853">
        <f>LOOKUP(C43,Cities!A$3:A$343,Cities!D$3:D$343)</f>
        <v>0</v>
      </c>
      <c r="L97" s="1522">
        <f t="shared" si="3"/>
        <v>0</v>
      </c>
      <c r="M97" s="1523"/>
      <c r="N97" s="339">
        <f>LOOKUP($C43,Cities!$A$3:$A$356,Cities!$V$3:$V$356)</f>
        <v>0</v>
      </c>
      <c r="O97" s="936" t="str">
        <f t="shared" si="4"/>
        <v/>
      </c>
      <c r="P97" s="785"/>
      <c r="Q97" s="785">
        <f t="shared" si="5"/>
        <v>0</v>
      </c>
      <c r="R97" s="171"/>
    </row>
    <row r="98" spans="1:18" ht="15" x14ac:dyDescent="0.2">
      <c r="A98" s="325">
        <v>123</v>
      </c>
      <c r="B98" s="336" t="str">
        <f>IF(C98=1,"",LOOKUP(C98,Cities!A$3:A$343,Cities!C$3:C$343))</f>
        <v/>
      </c>
      <c r="C98" s="338">
        <f t="shared" si="6"/>
        <v>1</v>
      </c>
      <c r="D98" s="337">
        <f t="shared" si="6"/>
        <v>0</v>
      </c>
      <c r="E98" s="812">
        <f>ROUND('Print Return'!$L$37*'Overflow (3)'!M44,0)</f>
        <v>0</v>
      </c>
      <c r="F98" s="955"/>
      <c r="G98" s="1524"/>
      <c r="H98" s="1524"/>
      <c r="I98" s="1525">
        <f>IF(Data!D$33=TRUE,'Overflows Worksheet'!K136,'Overflows Worksheet'!T136)</f>
        <v>0</v>
      </c>
      <c r="J98" s="1525"/>
      <c r="K98" s="853">
        <f>LOOKUP(C44,Cities!A$3:A$343,Cities!D$3:D$343)</f>
        <v>0</v>
      </c>
      <c r="L98" s="1522">
        <f t="shared" si="3"/>
        <v>0</v>
      </c>
      <c r="M98" s="1523"/>
      <c r="N98" s="339">
        <f>LOOKUP($C44,Cities!$A$3:$A$356,Cities!$V$3:$V$356)</f>
        <v>0</v>
      </c>
      <c r="O98" s="936" t="str">
        <f t="shared" si="4"/>
        <v/>
      </c>
      <c r="P98" s="785"/>
      <c r="Q98" s="785">
        <f t="shared" si="5"/>
        <v>0</v>
      </c>
      <c r="R98" s="171"/>
    </row>
    <row r="99" spans="1:18" ht="15" x14ac:dyDescent="0.2">
      <c r="A99" s="325">
        <v>124</v>
      </c>
      <c r="B99" s="336" t="str">
        <f>IF(C99=1,"",LOOKUP(C99,Cities!A$3:A$343,Cities!C$3:C$343))</f>
        <v/>
      </c>
      <c r="C99" s="338">
        <f t="shared" si="6"/>
        <v>1</v>
      </c>
      <c r="D99" s="337">
        <f t="shared" si="6"/>
        <v>0</v>
      </c>
      <c r="E99" s="812">
        <f>ROUND('Print Return'!$L$37*'Overflow (3)'!M45,0)</f>
        <v>0</v>
      </c>
      <c r="F99" s="955"/>
      <c r="G99" s="1524"/>
      <c r="H99" s="1524"/>
      <c r="I99" s="1525">
        <f>IF(Data!D$33=TRUE,'Overflows Worksheet'!K137,'Overflows Worksheet'!T137)</f>
        <v>0</v>
      </c>
      <c r="J99" s="1525"/>
      <c r="K99" s="853">
        <f>LOOKUP(C45,Cities!A$3:A$343,Cities!D$3:D$343)</f>
        <v>0</v>
      </c>
      <c r="L99" s="1522">
        <f t="shared" si="3"/>
        <v>0</v>
      </c>
      <c r="M99" s="1523"/>
      <c r="N99" s="339">
        <f>LOOKUP($C45,Cities!$A$3:$A$356,Cities!$V$3:$V$356)</f>
        <v>0</v>
      </c>
      <c r="O99" s="936" t="str">
        <f t="shared" si="4"/>
        <v/>
      </c>
      <c r="P99" s="785"/>
      <c r="Q99" s="785">
        <f t="shared" si="5"/>
        <v>0</v>
      </c>
      <c r="R99" s="171"/>
    </row>
    <row r="100" spans="1:18" ht="15" x14ac:dyDescent="0.2">
      <c r="A100" s="325">
        <v>125</v>
      </c>
      <c r="B100" s="336" t="str">
        <f>IF(C100=1,"",LOOKUP(C100,Cities!A$3:A$343,Cities!C$3:C$343))</f>
        <v/>
      </c>
      <c r="C100" s="338">
        <f t="shared" si="6"/>
        <v>1</v>
      </c>
      <c r="D100" s="337">
        <f t="shared" si="6"/>
        <v>0</v>
      </c>
      <c r="E100" s="812">
        <f>ROUND('Print Return'!$L$37*'Overflow (3)'!M46,0)</f>
        <v>0</v>
      </c>
      <c r="F100" s="955"/>
      <c r="G100" s="1524"/>
      <c r="H100" s="1524"/>
      <c r="I100" s="1525">
        <f>IF(Data!D$33=TRUE,'Overflows Worksheet'!K138,'Overflows Worksheet'!T138)</f>
        <v>0</v>
      </c>
      <c r="J100" s="1525"/>
      <c r="K100" s="853">
        <f>LOOKUP(C46,Cities!A$3:A$343,Cities!D$3:D$343)</f>
        <v>0</v>
      </c>
      <c r="L100" s="1522">
        <f t="shared" si="3"/>
        <v>0</v>
      </c>
      <c r="M100" s="1523"/>
      <c r="N100" s="339">
        <f>LOOKUP($C46,Cities!$A$3:$A$356,Cities!$V$3:$V$356)</f>
        <v>0</v>
      </c>
      <c r="O100" s="936" t="str">
        <f t="shared" si="4"/>
        <v/>
      </c>
      <c r="P100" s="785"/>
      <c r="Q100" s="785">
        <f t="shared" si="5"/>
        <v>0</v>
      </c>
      <c r="R100" s="171"/>
    </row>
    <row r="101" spans="1:18" ht="15" x14ac:dyDescent="0.2">
      <c r="A101" s="325">
        <v>126</v>
      </c>
      <c r="B101" s="336" t="str">
        <f>IF(C101=1,"",LOOKUP(C101,Cities!A$3:A$343,Cities!C$3:C$343))</f>
        <v/>
      </c>
      <c r="C101" s="338">
        <f t="shared" si="6"/>
        <v>1</v>
      </c>
      <c r="D101" s="337">
        <f t="shared" si="6"/>
        <v>0</v>
      </c>
      <c r="E101" s="812">
        <f>ROUND('Print Return'!$L$37*'Overflow (3)'!M47,0)</f>
        <v>0</v>
      </c>
      <c r="F101" s="955"/>
      <c r="G101" s="1524"/>
      <c r="H101" s="1524"/>
      <c r="I101" s="1525">
        <f>IF(Data!D$33=TRUE,'Overflows Worksheet'!K139,'Overflows Worksheet'!T139)</f>
        <v>0</v>
      </c>
      <c r="J101" s="1525"/>
      <c r="K101" s="853">
        <f>LOOKUP(C47,Cities!A$3:A$343,Cities!D$3:D$343)</f>
        <v>0</v>
      </c>
      <c r="L101" s="1522">
        <f t="shared" si="3"/>
        <v>0</v>
      </c>
      <c r="M101" s="1523"/>
      <c r="N101" s="339">
        <f>LOOKUP($C47,Cities!$A$3:$A$356,Cities!$V$3:$V$356)</f>
        <v>0</v>
      </c>
      <c r="O101" s="936" t="str">
        <f t="shared" si="4"/>
        <v/>
      </c>
      <c r="P101" s="785"/>
      <c r="Q101" s="785">
        <f t="shared" si="5"/>
        <v>0</v>
      </c>
      <c r="R101" s="171"/>
    </row>
    <row r="102" spans="1:18" ht="15" x14ac:dyDescent="0.2">
      <c r="A102" s="325">
        <v>127</v>
      </c>
      <c r="B102" s="336" t="str">
        <f>IF(C102=1,"",LOOKUP(C102,Cities!A$3:A$343,Cities!C$3:C$343))</f>
        <v/>
      </c>
      <c r="C102" s="338">
        <f t="shared" si="6"/>
        <v>1</v>
      </c>
      <c r="D102" s="337">
        <f t="shared" si="6"/>
        <v>0</v>
      </c>
      <c r="E102" s="812">
        <f>ROUND('Print Return'!$L$37*'Overflow (3)'!M48,0)</f>
        <v>0</v>
      </c>
      <c r="F102" s="955"/>
      <c r="G102" s="1524"/>
      <c r="H102" s="1524"/>
      <c r="I102" s="1525">
        <f>IF(Data!D$33=TRUE,'Overflows Worksheet'!K140,'Overflows Worksheet'!T140)</f>
        <v>0</v>
      </c>
      <c r="J102" s="1525"/>
      <c r="K102" s="853">
        <f>LOOKUP(C48,Cities!A$3:A$343,Cities!D$3:D$343)</f>
        <v>0</v>
      </c>
      <c r="L102" s="1522">
        <f t="shared" si="3"/>
        <v>0</v>
      </c>
      <c r="M102" s="1523"/>
      <c r="N102" s="339">
        <f>LOOKUP($C48,Cities!$A$3:$A$356,Cities!$V$3:$V$356)</f>
        <v>0</v>
      </c>
      <c r="O102" s="936" t="str">
        <f t="shared" si="4"/>
        <v/>
      </c>
      <c r="P102" s="785"/>
      <c r="Q102" s="785">
        <f t="shared" si="5"/>
        <v>0</v>
      </c>
      <c r="R102" s="171"/>
    </row>
    <row r="103" spans="1:18" ht="15" x14ac:dyDescent="0.2">
      <c r="A103" s="325">
        <v>128</v>
      </c>
      <c r="B103" s="336" t="str">
        <f>IF(C103=1,"",LOOKUP(C103,Cities!A$3:A$343,Cities!C$3:C$343))</f>
        <v/>
      </c>
      <c r="C103" s="338">
        <f t="shared" si="6"/>
        <v>1</v>
      </c>
      <c r="D103" s="337">
        <f t="shared" si="6"/>
        <v>0</v>
      </c>
      <c r="E103" s="812">
        <f>ROUND('Print Return'!$L$37*'Overflow (3)'!M49,0)</f>
        <v>0</v>
      </c>
      <c r="F103" s="955"/>
      <c r="G103" s="1524"/>
      <c r="H103" s="1524"/>
      <c r="I103" s="1525">
        <f>IF(Data!D$33=TRUE,'Overflows Worksheet'!K141,'Overflows Worksheet'!T141)</f>
        <v>0</v>
      </c>
      <c r="J103" s="1525"/>
      <c r="K103" s="853">
        <f>LOOKUP(C49,Cities!A$3:A$343,Cities!D$3:D$343)</f>
        <v>0</v>
      </c>
      <c r="L103" s="1522">
        <f t="shared" si="3"/>
        <v>0</v>
      </c>
      <c r="M103" s="1523"/>
      <c r="N103" s="339">
        <f>LOOKUP($C49,Cities!$A$3:$A$356,Cities!$V$3:$V$356)</f>
        <v>0</v>
      </c>
      <c r="O103" s="936" t="str">
        <f t="shared" si="4"/>
        <v/>
      </c>
      <c r="P103" s="785"/>
      <c r="Q103" s="785">
        <f t="shared" si="5"/>
        <v>0</v>
      </c>
      <c r="R103" s="171"/>
    </row>
    <row r="104" spans="1:18" ht="15" x14ac:dyDescent="0.2">
      <c r="A104" s="325">
        <v>129</v>
      </c>
      <c r="B104" s="336" t="str">
        <f>IF(C104=1,"",LOOKUP(C104,Cities!A$3:A$343,Cities!C$3:C$343))</f>
        <v/>
      </c>
      <c r="C104" s="338">
        <f t="shared" si="6"/>
        <v>1</v>
      </c>
      <c r="D104" s="337">
        <f t="shared" si="6"/>
        <v>0</v>
      </c>
      <c r="E104" s="812">
        <f>ROUND('Print Return'!$L$37*'Overflow (3)'!M50,0)</f>
        <v>0</v>
      </c>
      <c r="F104" s="955"/>
      <c r="G104" s="1524"/>
      <c r="H104" s="1524"/>
      <c r="I104" s="1525">
        <f>IF(Data!D$33=TRUE,'Overflows Worksheet'!K142,'Overflows Worksheet'!T142)</f>
        <v>0</v>
      </c>
      <c r="J104" s="1525"/>
      <c r="K104" s="853">
        <f>LOOKUP(C50,Cities!A$3:A$343,Cities!D$3:D$343)</f>
        <v>0</v>
      </c>
      <c r="L104" s="1522">
        <f t="shared" si="3"/>
        <v>0</v>
      </c>
      <c r="M104" s="1523"/>
      <c r="N104" s="339">
        <f>LOOKUP($C50,Cities!$A$3:$A$356,Cities!$V$3:$V$356)</f>
        <v>0</v>
      </c>
      <c r="O104" s="936" t="str">
        <f t="shared" si="4"/>
        <v/>
      </c>
      <c r="P104" s="785"/>
      <c r="Q104" s="785">
        <f t="shared" si="5"/>
        <v>0</v>
      </c>
      <c r="R104" s="171"/>
    </row>
    <row r="105" spans="1:18" ht="15" x14ac:dyDescent="0.2">
      <c r="A105" s="325">
        <v>130</v>
      </c>
      <c r="B105" s="336" t="str">
        <f>IF(C105=1,"",LOOKUP(C105,Cities!A$3:A$343,Cities!C$3:C$343))</f>
        <v/>
      </c>
      <c r="C105" s="338">
        <f t="shared" si="6"/>
        <v>1</v>
      </c>
      <c r="D105" s="337">
        <f t="shared" si="6"/>
        <v>0</v>
      </c>
      <c r="E105" s="812">
        <f>ROUND('Print Return'!$L$37*'Overflow (3)'!M51,0)</f>
        <v>0</v>
      </c>
      <c r="F105" s="955"/>
      <c r="G105" s="1524"/>
      <c r="H105" s="1524"/>
      <c r="I105" s="1525">
        <f>IF(Data!D$33=TRUE,'Overflows Worksheet'!K143,'Overflows Worksheet'!T143)</f>
        <v>0</v>
      </c>
      <c r="J105" s="1525"/>
      <c r="K105" s="853">
        <f>LOOKUP(C51,Cities!A$3:A$343,Cities!D$3:D$343)</f>
        <v>0</v>
      </c>
      <c r="L105" s="1522">
        <f t="shared" si="3"/>
        <v>0</v>
      </c>
      <c r="M105" s="1523"/>
      <c r="N105" s="339">
        <f>LOOKUP($C51,Cities!$A$3:$A$356,Cities!$V$3:$V$356)</f>
        <v>0</v>
      </c>
      <c r="O105" s="936" t="str">
        <f t="shared" si="4"/>
        <v/>
      </c>
      <c r="P105" s="785"/>
      <c r="Q105" s="785">
        <f t="shared" si="5"/>
        <v>0</v>
      </c>
      <c r="R105" s="171"/>
    </row>
    <row r="106" spans="1:18" ht="15" x14ac:dyDescent="0.2">
      <c r="A106" s="325">
        <v>131</v>
      </c>
      <c r="B106" s="336" t="str">
        <f>IF(C106=1,"",LOOKUP(C106,Cities!A$3:A$343,Cities!C$3:C$343))</f>
        <v/>
      </c>
      <c r="C106" s="338">
        <f t="shared" ref="C106:D110" si="7">+C52</f>
        <v>1</v>
      </c>
      <c r="D106" s="337">
        <f t="shared" si="7"/>
        <v>0</v>
      </c>
      <c r="E106" s="812">
        <f>ROUND('Print Return'!$L$37*'Overflow (3)'!M52,0)</f>
        <v>0</v>
      </c>
      <c r="F106" s="955"/>
      <c r="G106" s="1524"/>
      <c r="H106" s="1524"/>
      <c r="I106" s="1525">
        <f>IF(Data!D$33=TRUE,'Overflows Worksheet'!K144,'Overflows Worksheet'!T144)</f>
        <v>0</v>
      </c>
      <c r="J106" s="1525"/>
      <c r="K106" s="853">
        <f>LOOKUP(C52,Cities!A$3:A$343,Cities!D$3:D$343)</f>
        <v>0</v>
      </c>
      <c r="L106" s="1522">
        <f t="shared" si="3"/>
        <v>0</v>
      </c>
      <c r="M106" s="1523"/>
      <c r="N106" s="339">
        <f>LOOKUP($C52,Cities!$A$3:$A$356,Cities!$V$3:$V$356)</f>
        <v>0</v>
      </c>
      <c r="O106" s="936" t="str">
        <f t="shared" si="4"/>
        <v/>
      </c>
      <c r="P106" s="785"/>
      <c r="Q106" s="785">
        <f t="shared" si="5"/>
        <v>0</v>
      </c>
      <c r="R106" s="171"/>
    </row>
    <row r="107" spans="1:18" ht="15" x14ac:dyDescent="0.2">
      <c r="A107" s="325">
        <v>132</v>
      </c>
      <c r="B107" s="336" t="str">
        <f>IF(C107=1,"",LOOKUP(C107,Cities!A$3:A$343,Cities!C$3:C$343))</f>
        <v/>
      </c>
      <c r="C107" s="338">
        <f t="shared" si="7"/>
        <v>1</v>
      </c>
      <c r="D107" s="337">
        <f t="shared" si="7"/>
        <v>0</v>
      </c>
      <c r="E107" s="812">
        <f>ROUND('Print Return'!$L$37*'Overflow (3)'!M53,0)</f>
        <v>0</v>
      </c>
      <c r="F107" s="955"/>
      <c r="G107" s="1524"/>
      <c r="H107" s="1524"/>
      <c r="I107" s="1525">
        <f>IF(Data!D$33=TRUE,'Overflows Worksheet'!K145,'Overflows Worksheet'!T145)</f>
        <v>0</v>
      </c>
      <c r="J107" s="1525"/>
      <c r="K107" s="853">
        <f>LOOKUP(C53,Cities!A$3:A$343,Cities!D$3:D$343)</f>
        <v>0</v>
      </c>
      <c r="L107" s="1522">
        <f t="shared" si="3"/>
        <v>0</v>
      </c>
      <c r="M107" s="1523"/>
      <c r="N107" s="339">
        <f>LOOKUP($C53,Cities!$A$3:$A$356,Cities!$V$3:$V$356)</f>
        <v>0</v>
      </c>
      <c r="O107" s="936" t="str">
        <f t="shared" si="4"/>
        <v/>
      </c>
      <c r="P107" s="785"/>
      <c r="Q107" s="785">
        <f t="shared" si="5"/>
        <v>0</v>
      </c>
      <c r="R107" s="171"/>
    </row>
    <row r="108" spans="1:18" ht="15" x14ac:dyDescent="0.2">
      <c r="A108" s="325">
        <v>133</v>
      </c>
      <c r="B108" s="336" t="str">
        <f>IF(C108=1,"",LOOKUP(C108,Cities!A$3:A$343,Cities!C$3:C$343))</f>
        <v/>
      </c>
      <c r="C108" s="338">
        <f t="shared" si="7"/>
        <v>1</v>
      </c>
      <c r="D108" s="337">
        <f t="shared" si="7"/>
        <v>0</v>
      </c>
      <c r="E108" s="812">
        <f>ROUND('Print Return'!$L$37*'Overflow (3)'!M54,0)</f>
        <v>0</v>
      </c>
      <c r="F108" s="955"/>
      <c r="G108" s="1524"/>
      <c r="H108" s="1524"/>
      <c r="I108" s="1525">
        <f>IF(Data!D$33=TRUE,'Overflows Worksheet'!K146,'Overflows Worksheet'!T146)</f>
        <v>0</v>
      </c>
      <c r="J108" s="1525"/>
      <c r="K108" s="853">
        <f>LOOKUP(C54,Cities!A$3:A$343,Cities!D$3:D$343)</f>
        <v>0</v>
      </c>
      <c r="L108" s="1522">
        <f t="shared" si="3"/>
        <v>0</v>
      </c>
      <c r="M108" s="1523"/>
      <c r="N108" s="339">
        <f>LOOKUP($C54,Cities!$A$3:$A$356,Cities!$V$3:$V$356)</f>
        <v>0</v>
      </c>
      <c r="O108" s="936" t="str">
        <f t="shared" si="4"/>
        <v/>
      </c>
      <c r="P108" s="785"/>
      <c r="Q108" s="785">
        <f t="shared" si="5"/>
        <v>0</v>
      </c>
      <c r="R108" s="171"/>
    </row>
    <row r="109" spans="1:18" ht="15" x14ac:dyDescent="0.2">
      <c r="A109" s="325">
        <v>134</v>
      </c>
      <c r="B109" s="336" t="str">
        <f>IF(C109=1,"",LOOKUP(C109,Cities!A$3:A$343,Cities!C$3:C$343))</f>
        <v/>
      </c>
      <c r="C109" s="338">
        <f t="shared" si="7"/>
        <v>1</v>
      </c>
      <c r="D109" s="337">
        <f t="shared" si="7"/>
        <v>0</v>
      </c>
      <c r="E109" s="812">
        <f>ROUND('Print Return'!$L$37*'Overflow (3)'!M55,0)</f>
        <v>0</v>
      </c>
      <c r="F109" s="955"/>
      <c r="G109" s="1524"/>
      <c r="H109" s="1524"/>
      <c r="I109" s="1525">
        <f>IF(Data!D$33=TRUE,'Overflows Worksheet'!K147,'Overflows Worksheet'!T147)</f>
        <v>0</v>
      </c>
      <c r="J109" s="1525"/>
      <c r="K109" s="853">
        <f>LOOKUP(C55,Cities!A$3:A$343,Cities!D$3:D$343)</f>
        <v>0</v>
      </c>
      <c r="L109" s="1522">
        <f t="shared" si="3"/>
        <v>0</v>
      </c>
      <c r="M109" s="1523"/>
      <c r="N109" s="339">
        <f>LOOKUP($C55,Cities!$A$3:$A$356,Cities!$V$3:$V$356)</f>
        <v>0</v>
      </c>
      <c r="O109" s="936" t="str">
        <f t="shared" si="4"/>
        <v/>
      </c>
      <c r="P109" s="785"/>
      <c r="Q109" s="785">
        <f t="shared" si="5"/>
        <v>0</v>
      </c>
      <c r="R109" s="171"/>
    </row>
    <row r="110" spans="1:18" ht="15.75" thickBot="1" x14ac:dyDescent="0.25">
      <c r="A110" s="325">
        <v>135</v>
      </c>
      <c r="B110" s="336" t="str">
        <f>IF(C110=1,"",LOOKUP(C110,Cities!A$3:A$343,Cities!C$3:C$343))</f>
        <v/>
      </c>
      <c r="C110" s="338">
        <f t="shared" si="7"/>
        <v>1</v>
      </c>
      <c r="D110" s="337">
        <f t="shared" si="7"/>
        <v>0</v>
      </c>
      <c r="E110" s="814">
        <f>ROUND('Print Return'!$L$37*'Overflow (3)'!M56,0)</f>
        <v>0</v>
      </c>
      <c r="F110" s="956"/>
      <c r="G110" s="1564"/>
      <c r="H110" s="1564"/>
      <c r="I110" s="1525">
        <f>IF(Data!D$33=TRUE,'Overflows Worksheet'!K148,'Overflows Worksheet'!T148)</f>
        <v>0</v>
      </c>
      <c r="J110" s="1525"/>
      <c r="K110" s="854">
        <f>LOOKUP(C56,Cities!A$3:A$343,Cities!D$3:D$343)</f>
        <v>0</v>
      </c>
      <c r="L110" s="1562">
        <f t="shared" si="3"/>
        <v>0</v>
      </c>
      <c r="M110" s="1563"/>
      <c r="N110" s="339">
        <f>LOOKUP($C56,Cities!$A$3:$A$356,Cities!$V$3:$V$356)</f>
        <v>0</v>
      </c>
      <c r="O110" s="936" t="str">
        <f t="shared" si="4"/>
        <v/>
      </c>
      <c r="P110" s="785"/>
      <c r="Q110" s="785">
        <f t="shared" si="5"/>
        <v>0</v>
      </c>
      <c r="R110" s="171"/>
    </row>
    <row r="111" spans="1:18" ht="15" x14ac:dyDescent="0.2">
      <c r="B111" s="6" t="s">
        <v>1791</v>
      </c>
      <c r="C111" s="6"/>
      <c r="D111" s="6"/>
      <c r="E111" s="813">
        <f>SUM(E66:E110)</f>
        <v>0</v>
      </c>
      <c r="F111" s="958">
        <f>SUM(F66:F110)</f>
        <v>0</v>
      </c>
      <c r="G111" s="1561">
        <f>SUM(G66:G110)</f>
        <v>0</v>
      </c>
      <c r="H111" s="1561"/>
      <c r="I111" s="1566">
        <f>SUM(I66:I110)</f>
        <v>0</v>
      </c>
      <c r="J111" s="1566"/>
      <c r="K111" s="855"/>
      <c r="L111" s="1561">
        <f>SUM(L66:L110)</f>
        <v>0</v>
      </c>
      <c r="M111" s="1561"/>
      <c r="O111" s="786"/>
      <c r="P111" s="171"/>
      <c r="Q111" s="785">
        <f>SUM(Q66:Q110)</f>
        <v>0</v>
      </c>
      <c r="R111" s="171"/>
    </row>
    <row r="112" spans="1:18" s="6" customFormat="1" ht="15" x14ac:dyDescent="0.2">
      <c r="O112" s="850"/>
      <c r="P112" s="602"/>
      <c r="Q112" s="602"/>
      <c r="R112" s="602"/>
    </row>
  </sheetData>
  <sheetProtection algorithmName="SHA-512" hashValue="eIdlylEqT8emURtycBTK4awissAEhkwqBEmKPeOnRBdu5dOgi3jvT0t+uRY9qoTKXYQW5jZLhbnTXFV3vD78Qw==" saltValue="Z5KPMH2dxsOAEncnPU16zQ==" spinCount="100000" sheet="1" objects="1" scenarios="1"/>
  <mergeCells count="171">
    <mergeCell ref="I105:J105"/>
    <mergeCell ref="L105:M105"/>
    <mergeCell ref="G103:H103"/>
    <mergeCell ref="I103:J103"/>
    <mergeCell ref="L103:M103"/>
    <mergeCell ref="G104:H104"/>
    <mergeCell ref="I104:J104"/>
    <mergeCell ref="L104:M104"/>
    <mergeCell ref="G102:H102"/>
    <mergeCell ref="I102:J102"/>
    <mergeCell ref="L102:M102"/>
    <mergeCell ref="G97:H97"/>
    <mergeCell ref="I97:J97"/>
    <mergeCell ref="L97:M97"/>
    <mergeCell ref="I101:J101"/>
    <mergeCell ref="L101:M101"/>
    <mergeCell ref="G93:H93"/>
    <mergeCell ref="I93:J93"/>
    <mergeCell ref="L93:M93"/>
    <mergeCell ref="G94:H94"/>
    <mergeCell ref="I94:J94"/>
    <mergeCell ref="L94:M94"/>
    <mergeCell ref="I95:J95"/>
    <mergeCell ref="L95:M95"/>
    <mergeCell ref="I98:J98"/>
    <mergeCell ref="L98:M98"/>
    <mergeCell ref="G99:H99"/>
    <mergeCell ref="I99:J99"/>
    <mergeCell ref="L99:M99"/>
    <mergeCell ref="G100:H100"/>
    <mergeCell ref="I100:J100"/>
    <mergeCell ref="L100:M100"/>
    <mergeCell ref="G96:H96"/>
    <mergeCell ref="I96:J96"/>
    <mergeCell ref="G90:H90"/>
    <mergeCell ref="I90:J90"/>
    <mergeCell ref="L90:M90"/>
    <mergeCell ref="G91:H91"/>
    <mergeCell ref="I91:J91"/>
    <mergeCell ref="L91:M91"/>
    <mergeCell ref="I89:J89"/>
    <mergeCell ref="I92:J92"/>
    <mergeCell ref="L92:M92"/>
    <mergeCell ref="G86:H86"/>
    <mergeCell ref="I86:J86"/>
    <mergeCell ref="L86:M86"/>
    <mergeCell ref="I81:J81"/>
    <mergeCell ref="I83:J83"/>
    <mergeCell ref="I85:J85"/>
    <mergeCell ref="I84:J84"/>
    <mergeCell ref="I88:J88"/>
    <mergeCell ref="L88:M88"/>
    <mergeCell ref="I87:J87"/>
    <mergeCell ref="I75:J75"/>
    <mergeCell ref="I76:J76"/>
    <mergeCell ref="I77:J77"/>
    <mergeCell ref="I78:J78"/>
    <mergeCell ref="I79:J79"/>
    <mergeCell ref="I80:J80"/>
    <mergeCell ref="I111:J111"/>
    <mergeCell ref="G80:H80"/>
    <mergeCell ref="G111:H111"/>
    <mergeCell ref="G81:H81"/>
    <mergeCell ref="G83:H83"/>
    <mergeCell ref="G85:H85"/>
    <mergeCell ref="G87:H87"/>
    <mergeCell ref="G89:H89"/>
    <mergeCell ref="G84:H84"/>
    <mergeCell ref="G88:H88"/>
    <mergeCell ref="G92:H92"/>
    <mergeCell ref="G95:H95"/>
    <mergeCell ref="G98:H98"/>
    <mergeCell ref="G105:H105"/>
    <mergeCell ref="G110:H110"/>
    <mergeCell ref="G101:H101"/>
    <mergeCell ref="G82:H82"/>
    <mergeCell ref="I82:J82"/>
    <mergeCell ref="I66:J66"/>
    <mergeCell ref="I67:J67"/>
    <mergeCell ref="I68:J68"/>
    <mergeCell ref="I69:J69"/>
    <mergeCell ref="I70:J70"/>
    <mergeCell ref="I71:J71"/>
    <mergeCell ref="I72:J72"/>
    <mergeCell ref="I73:J73"/>
    <mergeCell ref="I74:J74"/>
    <mergeCell ref="L75:M75"/>
    <mergeCell ref="L76:M76"/>
    <mergeCell ref="L77:M77"/>
    <mergeCell ref="L78:M78"/>
    <mergeCell ref="L79:M79"/>
    <mergeCell ref="L80:M80"/>
    <mergeCell ref="L111:M111"/>
    <mergeCell ref="L84:M84"/>
    <mergeCell ref="L85:M85"/>
    <mergeCell ref="L87:M87"/>
    <mergeCell ref="L89:M89"/>
    <mergeCell ref="L108:M108"/>
    <mergeCell ref="L110:M110"/>
    <mergeCell ref="L81:M81"/>
    <mergeCell ref="L82:M82"/>
    <mergeCell ref="L83:M83"/>
    <mergeCell ref="L96:M96"/>
    <mergeCell ref="A1:B1"/>
    <mergeCell ref="K4:M4"/>
    <mergeCell ref="D1:K2"/>
    <mergeCell ref="A2:B2"/>
    <mergeCell ref="B4:J4"/>
    <mergeCell ref="D64:D65"/>
    <mergeCell ref="L65:M65"/>
    <mergeCell ref="B6:B8"/>
    <mergeCell ref="A59:B59"/>
    <mergeCell ref="D10:D11"/>
    <mergeCell ref="A60:B60"/>
    <mergeCell ref="L1:M1"/>
    <mergeCell ref="L2:M2"/>
    <mergeCell ref="L59:M59"/>
    <mergeCell ref="L60:M60"/>
    <mergeCell ref="E64:E65"/>
    <mergeCell ref="F64:F65"/>
    <mergeCell ref="I64:J65"/>
    <mergeCell ref="K58:K59"/>
    <mergeCell ref="D59:J60"/>
    <mergeCell ref="G79:H79"/>
    <mergeCell ref="L109:M109"/>
    <mergeCell ref="G107:H107"/>
    <mergeCell ref="I107:J107"/>
    <mergeCell ref="L107:M107"/>
    <mergeCell ref="E6:F6"/>
    <mergeCell ref="E7:F7"/>
    <mergeCell ref="I10:J10"/>
    <mergeCell ref="K10:L10"/>
    <mergeCell ref="E8:F8"/>
    <mergeCell ref="I6:J6"/>
    <mergeCell ref="I8:J8"/>
    <mergeCell ref="E10:H10"/>
    <mergeCell ref="L106:M106"/>
    <mergeCell ref="B62:J62"/>
    <mergeCell ref="K62:M62"/>
    <mergeCell ref="L64:M64"/>
    <mergeCell ref="L66:M66"/>
    <mergeCell ref="L67:M67"/>
    <mergeCell ref="L68:M68"/>
    <mergeCell ref="L69:M69"/>
    <mergeCell ref="L73:M73"/>
    <mergeCell ref="L70:M70"/>
    <mergeCell ref="L74:M74"/>
    <mergeCell ref="O64:O65"/>
    <mergeCell ref="G66:H66"/>
    <mergeCell ref="G67:H67"/>
    <mergeCell ref="I110:J110"/>
    <mergeCell ref="G108:H108"/>
    <mergeCell ref="I108:J108"/>
    <mergeCell ref="G106:H106"/>
    <mergeCell ref="I106:J106"/>
    <mergeCell ref="G109:H109"/>
    <mergeCell ref="I109:J109"/>
    <mergeCell ref="G68:H68"/>
    <mergeCell ref="G69:H69"/>
    <mergeCell ref="G70:H70"/>
    <mergeCell ref="G71:H71"/>
    <mergeCell ref="G72:H72"/>
    <mergeCell ref="G73:H73"/>
    <mergeCell ref="G74:H74"/>
    <mergeCell ref="G75:H75"/>
    <mergeCell ref="G76:H76"/>
    <mergeCell ref="G77:H77"/>
    <mergeCell ref="G78:H78"/>
    <mergeCell ref="G64:H65"/>
    <mergeCell ref="L71:M71"/>
    <mergeCell ref="L72:M72"/>
  </mergeCells>
  <phoneticPr fontId="2" type="noConversion"/>
  <conditionalFormatting sqref="G66:H110">
    <cfRule type="expression" dxfId="25" priority="3" stopIfTrue="1">
      <formula>$N66=0</formula>
    </cfRule>
  </conditionalFormatting>
  <conditionalFormatting sqref="E66:E110 I66:L110">
    <cfRule type="expression" dxfId="24" priority="4" stopIfTrue="1">
      <formula>$D66=0</formula>
    </cfRule>
  </conditionalFormatting>
  <conditionalFormatting sqref="N66:N110">
    <cfRule type="expression" dxfId="23" priority="5" stopIfTrue="1">
      <formula>"LOOKUP(C12,Cities!$A$3:$A$169,Cities!$L$3:$L$169)=0"</formula>
    </cfRule>
  </conditionalFormatting>
  <pageMargins left="0.5" right="0.5" top="0.5" bottom="0.5" header="0.5" footer="0.5"/>
  <pageSetup scale="75" orientation="portrait" r:id="rId1"/>
  <headerFooter alignWithMargins="0"/>
  <rowBreaks count="1" manualBreakCount="1">
    <brk id="5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41" r:id="rId4" name="Drop Down 1">
              <controlPr defaultSize="0" autoLine="0" autoPict="0">
                <anchor moveWithCells="1">
                  <from>
                    <xdr:col>1</xdr:col>
                    <xdr:colOff>9525</xdr:colOff>
                    <xdr:row>11</xdr:row>
                    <xdr:rowOff>9525</xdr:rowOff>
                  </from>
                  <to>
                    <xdr:col>1</xdr:col>
                    <xdr:colOff>1924050</xdr:colOff>
                    <xdr:row>11</xdr:row>
                    <xdr:rowOff>209550</xdr:rowOff>
                  </to>
                </anchor>
              </controlPr>
            </control>
          </mc:Choice>
        </mc:AlternateContent>
        <mc:AlternateContent xmlns:mc="http://schemas.openxmlformats.org/markup-compatibility/2006">
          <mc:Choice Requires="x14">
            <control shapeId="10242" r:id="rId5" name="Drop Down 2">
              <controlPr defaultSize="0" autoLine="0" autoPict="0">
                <anchor moveWithCells="1">
                  <from>
                    <xdr:col>1</xdr:col>
                    <xdr:colOff>9525</xdr:colOff>
                    <xdr:row>12</xdr:row>
                    <xdr:rowOff>9525</xdr:rowOff>
                  </from>
                  <to>
                    <xdr:col>1</xdr:col>
                    <xdr:colOff>1924050</xdr:colOff>
                    <xdr:row>12</xdr:row>
                    <xdr:rowOff>209550</xdr:rowOff>
                  </to>
                </anchor>
              </controlPr>
            </control>
          </mc:Choice>
        </mc:AlternateContent>
        <mc:AlternateContent xmlns:mc="http://schemas.openxmlformats.org/markup-compatibility/2006">
          <mc:Choice Requires="x14">
            <control shapeId="10243" r:id="rId6" name="Drop Down 3">
              <controlPr defaultSize="0" autoLine="0" autoPict="0">
                <anchor moveWithCells="1">
                  <from>
                    <xdr:col>1</xdr:col>
                    <xdr:colOff>9525</xdr:colOff>
                    <xdr:row>13</xdr:row>
                    <xdr:rowOff>19050</xdr:rowOff>
                  </from>
                  <to>
                    <xdr:col>1</xdr:col>
                    <xdr:colOff>1924050</xdr:colOff>
                    <xdr:row>13</xdr:row>
                    <xdr:rowOff>219075</xdr:rowOff>
                  </to>
                </anchor>
              </controlPr>
            </control>
          </mc:Choice>
        </mc:AlternateContent>
        <mc:AlternateContent xmlns:mc="http://schemas.openxmlformats.org/markup-compatibility/2006">
          <mc:Choice Requires="x14">
            <control shapeId="10244" r:id="rId7" name="Drop Down 4">
              <controlPr defaultSize="0" autoLine="0" autoPict="0">
                <anchor moveWithCells="1">
                  <from>
                    <xdr:col>1</xdr:col>
                    <xdr:colOff>9525</xdr:colOff>
                    <xdr:row>14</xdr:row>
                    <xdr:rowOff>19050</xdr:rowOff>
                  </from>
                  <to>
                    <xdr:col>1</xdr:col>
                    <xdr:colOff>1924050</xdr:colOff>
                    <xdr:row>14</xdr:row>
                    <xdr:rowOff>219075</xdr:rowOff>
                  </to>
                </anchor>
              </controlPr>
            </control>
          </mc:Choice>
        </mc:AlternateContent>
        <mc:AlternateContent xmlns:mc="http://schemas.openxmlformats.org/markup-compatibility/2006">
          <mc:Choice Requires="x14">
            <control shapeId="10245" r:id="rId8" name="Drop Down 5">
              <controlPr defaultSize="0" autoLine="0" autoPict="0">
                <anchor moveWithCells="1">
                  <from>
                    <xdr:col>1</xdr:col>
                    <xdr:colOff>9525</xdr:colOff>
                    <xdr:row>15</xdr:row>
                    <xdr:rowOff>19050</xdr:rowOff>
                  </from>
                  <to>
                    <xdr:col>1</xdr:col>
                    <xdr:colOff>1924050</xdr:colOff>
                    <xdr:row>15</xdr:row>
                    <xdr:rowOff>219075</xdr:rowOff>
                  </to>
                </anchor>
              </controlPr>
            </control>
          </mc:Choice>
        </mc:AlternateContent>
        <mc:AlternateContent xmlns:mc="http://schemas.openxmlformats.org/markup-compatibility/2006">
          <mc:Choice Requires="x14">
            <control shapeId="10246" r:id="rId9" name="Drop Down 6">
              <controlPr defaultSize="0" autoLine="0" autoPict="0">
                <anchor moveWithCells="1">
                  <from>
                    <xdr:col>1</xdr:col>
                    <xdr:colOff>9525</xdr:colOff>
                    <xdr:row>16</xdr:row>
                    <xdr:rowOff>19050</xdr:rowOff>
                  </from>
                  <to>
                    <xdr:col>1</xdr:col>
                    <xdr:colOff>1924050</xdr:colOff>
                    <xdr:row>16</xdr:row>
                    <xdr:rowOff>219075</xdr:rowOff>
                  </to>
                </anchor>
              </controlPr>
            </control>
          </mc:Choice>
        </mc:AlternateContent>
        <mc:AlternateContent xmlns:mc="http://schemas.openxmlformats.org/markup-compatibility/2006">
          <mc:Choice Requires="x14">
            <control shapeId="10247" r:id="rId10" name="Drop Down 7">
              <controlPr defaultSize="0" autoLine="0" autoPict="0">
                <anchor moveWithCells="1">
                  <from>
                    <xdr:col>1</xdr:col>
                    <xdr:colOff>9525</xdr:colOff>
                    <xdr:row>17</xdr:row>
                    <xdr:rowOff>19050</xdr:rowOff>
                  </from>
                  <to>
                    <xdr:col>1</xdr:col>
                    <xdr:colOff>1924050</xdr:colOff>
                    <xdr:row>17</xdr:row>
                    <xdr:rowOff>219075</xdr:rowOff>
                  </to>
                </anchor>
              </controlPr>
            </control>
          </mc:Choice>
        </mc:AlternateContent>
        <mc:AlternateContent xmlns:mc="http://schemas.openxmlformats.org/markup-compatibility/2006">
          <mc:Choice Requires="x14">
            <control shapeId="10248" r:id="rId11" name="Drop Down 8">
              <controlPr defaultSize="0" autoLine="0" autoPict="0">
                <anchor moveWithCells="1">
                  <from>
                    <xdr:col>1</xdr:col>
                    <xdr:colOff>9525</xdr:colOff>
                    <xdr:row>18</xdr:row>
                    <xdr:rowOff>19050</xdr:rowOff>
                  </from>
                  <to>
                    <xdr:col>1</xdr:col>
                    <xdr:colOff>1924050</xdr:colOff>
                    <xdr:row>18</xdr:row>
                    <xdr:rowOff>219075</xdr:rowOff>
                  </to>
                </anchor>
              </controlPr>
            </control>
          </mc:Choice>
        </mc:AlternateContent>
        <mc:AlternateContent xmlns:mc="http://schemas.openxmlformats.org/markup-compatibility/2006">
          <mc:Choice Requires="x14">
            <control shapeId="10249" r:id="rId12" name="Drop Down 9">
              <controlPr defaultSize="0" autoLine="0" autoPict="0">
                <anchor moveWithCells="1">
                  <from>
                    <xdr:col>1</xdr:col>
                    <xdr:colOff>9525</xdr:colOff>
                    <xdr:row>19</xdr:row>
                    <xdr:rowOff>28575</xdr:rowOff>
                  </from>
                  <to>
                    <xdr:col>1</xdr:col>
                    <xdr:colOff>1924050</xdr:colOff>
                    <xdr:row>20</xdr:row>
                    <xdr:rowOff>0</xdr:rowOff>
                  </to>
                </anchor>
              </controlPr>
            </control>
          </mc:Choice>
        </mc:AlternateContent>
        <mc:AlternateContent xmlns:mc="http://schemas.openxmlformats.org/markup-compatibility/2006">
          <mc:Choice Requires="x14">
            <control shapeId="10250" r:id="rId13" name="Drop Down 10">
              <controlPr defaultSize="0" autoLine="0" autoPict="0">
                <anchor moveWithCells="1">
                  <from>
                    <xdr:col>1</xdr:col>
                    <xdr:colOff>9525</xdr:colOff>
                    <xdr:row>20</xdr:row>
                    <xdr:rowOff>19050</xdr:rowOff>
                  </from>
                  <to>
                    <xdr:col>1</xdr:col>
                    <xdr:colOff>1924050</xdr:colOff>
                    <xdr:row>20</xdr:row>
                    <xdr:rowOff>219075</xdr:rowOff>
                  </to>
                </anchor>
              </controlPr>
            </control>
          </mc:Choice>
        </mc:AlternateContent>
        <mc:AlternateContent xmlns:mc="http://schemas.openxmlformats.org/markup-compatibility/2006">
          <mc:Choice Requires="x14">
            <control shapeId="10251" r:id="rId14" name="Drop Down 11">
              <controlPr defaultSize="0" autoLine="0" autoPict="0">
                <anchor moveWithCells="1">
                  <from>
                    <xdr:col>1</xdr:col>
                    <xdr:colOff>9525</xdr:colOff>
                    <xdr:row>21</xdr:row>
                    <xdr:rowOff>28575</xdr:rowOff>
                  </from>
                  <to>
                    <xdr:col>1</xdr:col>
                    <xdr:colOff>1924050</xdr:colOff>
                    <xdr:row>22</xdr:row>
                    <xdr:rowOff>0</xdr:rowOff>
                  </to>
                </anchor>
              </controlPr>
            </control>
          </mc:Choice>
        </mc:AlternateContent>
        <mc:AlternateContent xmlns:mc="http://schemas.openxmlformats.org/markup-compatibility/2006">
          <mc:Choice Requires="x14">
            <control shapeId="10252" r:id="rId15" name="Drop Down 12">
              <controlPr defaultSize="0" autoLine="0" autoPict="0">
                <anchor moveWithCells="1">
                  <from>
                    <xdr:col>1</xdr:col>
                    <xdr:colOff>9525</xdr:colOff>
                    <xdr:row>22</xdr:row>
                    <xdr:rowOff>28575</xdr:rowOff>
                  </from>
                  <to>
                    <xdr:col>1</xdr:col>
                    <xdr:colOff>1924050</xdr:colOff>
                    <xdr:row>23</xdr:row>
                    <xdr:rowOff>0</xdr:rowOff>
                  </to>
                </anchor>
              </controlPr>
            </control>
          </mc:Choice>
        </mc:AlternateContent>
        <mc:AlternateContent xmlns:mc="http://schemas.openxmlformats.org/markup-compatibility/2006">
          <mc:Choice Requires="x14">
            <control shapeId="10253" r:id="rId16" name="Drop Down 13">
              <controlPr defaultSize="0" autoLine="0" autoPict="0">
                <anchor moveWithCells="1">
                  <from>
                    <xdr:col>1</xdr:col>
                    <xdr:colOff>9525</xdr:colOff>
                    <xdr:row>23</xdr:row>
                    <xdr:rowOff>19050</xdr:rowOff>
                  </from>
                  <to>
                    <xdr:col>1</xdr:col>
                    <xdr:colOff>1924050</xdr:colOff>
                    <xdr:row>23</xdr:row>
                    <xdr:rowOff>219075</xdr:rowOff>
                  </to>
                </anchor>
              </controlPr>
            </control>
          </mc:Choice>
        </mc:AlternateContent>
        <mc:AlternateContent xmlns:mc="http://schemas.openxmlformats.org/markup-compatibility/2006">
          <mc:Choice Requires="x14">
            <control shapeId="10254" r:id="rId17" name="Drop Down 14">
              <controlPr defaultSize="0" autoLine="0" autoPict="0">
                <anchor moveWithCells="1">
                  <from>
                    <xdr:col>1</xdr:col>
                    <xdr:colOff>9525</xdr:colOff>
                    <xdr:row>24</xdr:row>
                    <xdr:rowOff>28575</xdr:rowOff>
                  </from>
                  <to>
                    <xdr:col>1</xdr:col>
                    <xdr:colOff>1924050</xdr:colOff>
                    <xdr:row>25</xdr:row>
                    <xdr:rowOff>0</xdr:rowOff>
                  </to>
                </anchor>
              </controlPr>
            </control>
          </mc:Choice>
        </mc:AlternateContent>
        <mc:AlternateContent xmlns:mc="http://schemas.openxmlformats.org/markup-compatibility/2006">
          <mc:Choice Requires="x14">
            <control shapeId="10255" r:id="rId18" name="Drop Down 15">
              <controlPr defaultSize="0" autoLine="0" autoPict="0">
                <anchor moveWithCells="1">
                  <from>
                    <xdr:col>1</xdr:col>
                    <xdr:colOff>9525</xdr:colOff>
                    <xdr:row>25</xdr:row>
                    <xdr:rowOff>19050</xdr:rowOff>
                  </from>
                  <to>
                    <xdr:col>1</xdr:col>
                    <xdr:colOff>1924050</xdr:colOff>
                    <xdr:row>25</xdr:row>
                    <xdr:rowOff>219075</xdr:rowOff>
                  </to>
                </anchor>
              </controlPr>
            </control>
          </mc:Choice>
        </mc:AlternateContent>
        <mc:AlternateContent xmlns:mc="http://schemas.openxmlformats.org/markup-compatibility/2006">
          <mc:Choice Requires="x14">
            <control shapeId="10256" r:id="rId19" name="Drop Down 16">
              <controlPr defaultSize="0" autoLine="0" autoPict="0">
                <anchor moveWithCells="1">
                  <from>
                    <xdr:col>1</xdr:col>
                    <xdr:colOff>9525</xdr:colOff>
                    <xdr:row>26</xdr:row>
                    <xdr:rowOff>19050</xdr:rowOff>
                  </from>
                  <to>
                    <xdr:col>1</xdr:col>
                    <xdr:colOff>1924050</xdr:colOff>
                    <xdr:row>26</xdr:row>
                    <xdr:rowOff>219075</xdr:rowOff>
                  </to>
                </anchor>
              </controlPr>
            </control>
          </mc:Choice>
        </mc:AlternateContent>
        <mc:AlternateContent xmlns:mc="http://schemas.openxmlformats.org/markup-compatibility/2006">
          <mc:Choice Requires="x14">
            <control shapeId="10257" r:id="rId20" name="Drop Down 17">
              <controlPr defaultSize="0" autoLine="0" autoPict="0">
                <anchor moveWithCells="1">
                  <from>
                    <xdr:col>1</xdr:col>
                    <xdr:colOff>9525</xdr:colOff>
                    <xdr:row>27</xdr:row>
                    <xdr:rowOff>19050</xdr:rowOff>
                  </from>
                  <to>
                    <xdr:col>1</xdr:col>
                    <xdr:colOff>1924050</xdr:colOff>
                    <xdr:row>27</xdr:row>
                    <xdr:rowOff>219075</xdr:rowOff>
                  </to>
                </anchor>
              </controlPr>
            </control>
          </mc:Choice>
        </mc:AlternateContent>
        <mc:AlternateContent xmlns:mc="http://schemas.openxmlformats.org/markup-compatibility/2006">
          <mc:Choice Requires="x14">
            <control shapeId="10258" r:id="rId21" name="Drop Down 18">
              <controlPr defaultSize="0" autoLine="0" autoPict="0">
                <anchor moveWithCells="1">
                  <from>
                    <xdr:col>1</xdr:col>
                    <xdr:colOff>9525</xdr:colOff>
                    <xdr:row>28</xdr:row>
                    <xdr:rowOff>19050</xdr:rowOff>
                  </from>
                  <to>
                    <xdr:col>1</xdr:col>
                    <xdr:colOff>1924050</xdr:colOff>
                    <xdr:row>28</xdr:row>
                    <xdr:rowOff>219075</xdr:rowOff>
                  </to>
                </anchor>
              </controlPr>
            </control>
          </mc:Choice>
        </mc:AlternateContent>
        <mc:AlternateContent xmlns:mc="http://schemas.openxmlformats.org/markup-compatibility/2006">
          <mc:Choice Requires="x14">
            <control shapeId="10259" r:id="rId22" name="Drop Down 19">
              <controlPr defaultSize="0" autoLine="0" autoPict="0">
                <anchor moveWithCells="1">
                  <from>
                    <xdr:col>1</xdr:col>
                    <xdr:colOff>9525</xdr:colOff>
                    <xdr:row>29</xdr:row>
                    <xdr:rowOff>19050</xdr:rowOff>
                  </from>
                  <to>
                    <xdr:col>1</xdr:col>
                    <xdr:colOff>1924050</xdr:colOff>
                    <xdr:row>29</xdr:row>
                    <xdr:rowOff>219075</xdr:rowOff>
                  </to>
                </anchor>
              </controlPr>
            </control>
          </mc:Choice>
        </mc:AlternateContent>
        <mc:AlternateContent xmlns:mc="http://schemas.openxmlformats.org/markup-compatibility/2006">
          <mc:Choice Requires="x14">
            <control shapeId="10260" r:id="rId23" name="Drop Down 20">
              <controlPr defaultSize="0" autoLine="0" autoPict="0">
                <anchor moveWithCells="1">
                  <from>
                    <xdr:col>1</xdr:col>
                    <xdr:colOff>9525</xdr:colOff>
                    <xdr:row>30</xdr:row>
                    <xdr:rowOff>19050</xdr:rowOff>
                  </from>
                  <to>
                    <xdr:col>1</xdr:col>
                    <xdr:colOff>1924050</xdr:colOff>
                    <xdr:row>30</xdr:row>
                    <xdr:rowOff>219075</xdr:rowOff>
                  </to>
                </anchor>
              </controlPr>
            </control>
          </mc:Choice>
        </mc:AlternateContent>
        <mc:AlternateContent xmlns:mc="http://schemas.openxmlformats.org/markup-compatibility/2006">
          <mc:Choice Requires="x14">
            <control shapeId="10261" r:id="rId24" name="Drop Down 21">
              <controlPr defaultSize="0" autoLine="0" autoPict="0">
                <anchor moveWithCells="1">
                  <from>
                    <xdr:col>1</xdr:col>
                    <xdr:colOff>9525</xdr:colOff>
                    <xdr:row>31</xdr:row>
                    <xdr:rowOff>19050</xdr:rowOff>
                  </from>
                  <to>
                    <xdr:col>1</xdr:col>
                    <xdr:colOff>1924050</xdr:colOff>
                    <xdr:row>31</xdr:row>
                    <xdr:rowOff>219075</xdr:rowOff>
                  </to>
                </anchor>
              </controlPr>
            </control>
          </mc:Choice>
        </mc:AlternateContent>
        <mc:AlternateContent xmlns:mc="http://schemas.openxmlformats.org/markup-compatibility/2006">
          <mc:Choice Requires="x14">
            <control shapeId="10262" r:id="rId25" name="Drop Down 22">
              <controlPr defaultSize="0" autoLine="0" autoPict="0">
                <anchor moveWithCells="1">
                  <from>
                    <xdr:col>1</xdr:col>
                    <xdr:colOff>9525</xdr:colOff>
                    <xdr:row>32</xdr:row>
                    <xdr:rowOff>19050</xdr:rowOff>
                  </from>
                  <to>
                    <xdr:col>1</xdr:col>
                    <xdr:colOff>1924050</xdr:colOff>
                    <xdr:row>32</xdr:row>
                    <xdr:rowOff>219075</xdr:rowOff>
                  </to>
                </anchor>
              </controlPr>
            </control>
          </mc:Choice>
        </mc:AlternateContent>
        <mc:AlternateContent xmlns:mc="http://schemas.openxmlformats.org/markup-compatibility/2006">
          <mc:Choice Requires="x14">
            <control shapeId="10263" r:id="rId26" name="Drop Down 23">
              <controlPr defaultSize="0" autoLine="0" autoPict="0">
                <anchor moveWithCells="1">
                  <from>
                    <xdr:col>1</xdr:col>
                    <xdr:colOff>9525</xdr:colOff>
                    <xdr:row>33</xdr:row>
                    <xdr:rowOff>19050</xdr:rowOff>
                  </from>
                  <to>
                    <xdr:col>1</xdr:col>
                    <xdr:colOff>1924050</xdr:colOff>
                    <xdr:row>33</xdr:row>
                    <xdr:rowOff>219075</xdr:rowOff>
                  </to>
                </anchor>
              </controlPr>
            </control>
          </mc:Choice>
        </mc:AlternateContent>
        <mc:AlternateContent xmlns:mc="http://schemas.openxmlformats.org/markup-compatibility/2006">
          <mc:Choice Requires="x14">
            <control shapeId="10264" r:id="rId27" name="Drop Down 24">
              <controlPr defaultSize="0" autoLine="0" autoPict="0">
                <anchor moveWithCells="1">
                  <from>
                    <xdr:col>1</xdr:col>
                    <xdr:colOff>9525</xdr:colOff>
                    <xdr:row>34</xdr:row>
                    <xdr:rowOff>19050</xdr:rowOff>
                  </from>
                  <to>
                    <xdr:col>1</xdr:col>
                    <xdr:colOff>1924050</xdr:colOff>
                    <xdr:row>34</xdr:row>
                    <xdr:rowOff>219075</xdr:rowOff>
                  </to>
                </anchor>
              </controlPr>
            </control>
          </mc:Choice>
        </mc:AlternateContent>
        <mc:AlternateContent xmlns:mc="http://schemas.openxmlformats.org/markup-compatibility/2006">
          <mc:Choice Requires="x14">
            <control shapeId="10265" r:id="rId28" name="Drop Down 25">
              <controlPr defaultSize="0" autoLine="0" autoPict="0">
                <anchor moveWithCells="1">
                  <from>
                    <xdr:col>1</xdr:col>
                    <xdr:colOff>9525</xdr:colOff>
                    <xdr:row>35</xdr:row>
                    <xdr:rowOff>19050</xdr:rowOff>
                  </from>
                  <to>
                    <xdr:col>1</xdr:col>
                    <xdr:colOff>1924050</xdr:colOff>
                    <xdr:row>35</xdr:row>
                    <xdr:rowOff>219075</xdr:rowOff>
                  </to>
                </anchor>
              </controlPr>
            </control>
          </mc:Choice>
        </mc:AlternateContent>
        <mc:AlternateContent xmlns:mc="http://schemas.openxmlformats.org/markup-compatibility/2006">
          <mc:Choice Requires="x14">
            <control shapeId="10266" r:id="rId29" name="Drop Down 26">
              <controlPr defaultSize="0" autoLine="0" autoPict="0">
                <anchor moveWithCells="1">
                  <from>
                    <xdr:col>1</xdr:col>
                    <xdr:colOff>9525</xdr:colOff>
                    <xdr:row>36</xdr:row>
                    <xdr:rowOff>19050</xdr:rowOff>
                  </from>
                  <to>
                    <xdr:col>1</xdr:col>
                    <xdr:colOff>1924050</xdr:colOff>
                    <xdr:row>36</xdr:row>
                    <xdr:rowOff>219075</xdr:rowOff>
                  </to>
                </anchor>
              </controlPr>
            </control>
          </mc:Choice>
        </mc:AlternateContent>
        <mc:AlternateContent xmlns:mc="http://schemas.openxmlformats.org/markup-compatibility/2006">
          <mc:Choice Requires="x14">
            <control shapeId="10267" r:id="rId30" name="Drop Down 27">
              <controlPr defaultSize="0" autoLine="0" autoPict="0">
                <anchor moveWithCells="1">
                  <from>
                    <xdr:col>1</xdr:col>
                    <xdr:colOff>9525</xdr:colOff>
                    <xdr:row>37</xdr:row>
                    <xdr:rowOff>19050</xdr:rowOff>
                  </from>
                  <to>
                    <xdr:col>1</xdr:col>
                    <xdr:colOff>1924050</xdr:colOff>
                    <xdr:row>37</xdr:row>
                    <xdr:rowOff>219075</xdr:rowOff>
                  </to>
                </anchor>
              </controlPr>
            </control>
          </mc:Choice>
        </mc:AlternateContent>
        <mc:AlternateContent xmlns:mc="http://schemas.openxmlformats.org/markup-compatibility/2006">
          <mc:Choice Requires="x14">
            <control shapeId="10268" r:id="rId31" name="Drop Down 28">
              <controlPr defaultSize="0" autoLine="0" autoPict="0">
                <anchor moveWithCells="1">
                  <from>
                    <xdr:col>1</xdr:col>
                    <xdr:colOff>9525</xdr:colOff>
                    <xdr:row>38</xdr:row>
                    <xdr:rowOff>19050</xdr:rowOff>
                  </from>
                  <to>
                    <xdr:col>1</xdr:col>
                    <xdr:colOff>1924050</xdr:colOff>
                    <xdr:row>38</xdr:row>
                    <xdr:rowOff>219075</xdr:rowOff>
                  </to>
                </anchor>
              </controlPr>
            </control>
          </mc:Choice>
        </mc:AlternateContent>
        <mc:AlternateContent xmlns:mc="http://schemas.openxmlformats.org/markup-compatibility/2006">
          <mc:Choice Requires="x14">
            <control shapeId="10269" r:id="rId32" name="Drop Down 29">
              <controlPr defaultSize="0" autoLine="0" autoPict="0">
                <anchor moveWithCells="1">
                  <from>
                    <xdr:col>1</xdr:col>
                    <xdr:colOff>9525</xdr:colOff>
                    <xdr:row>39</xdr:row>
                    <xdr:rowOff>19050</xdr:rowOff>
                  </from>
                  <to>
                    <xdr:col>1</xdr:col>
                    <xdr:colOff>1924050</xdr:colOff>
                    <xdr:row>39</xdr:row>
                    <xdr:rowOff>219075</xdr:rowOff>
                  </to>
                </anchor>
              </controlPr>
            </control>
          </mc:Choice>
        </mc:AlternateContent>
        <mc:AlternateContent xmlns:mc="http://schemas.openxmlformats.org/markup-compatibility/2006">
          <mc:Choice Requires="x14">
            <control shapeId="10270" r:id="rId33" name="Drop Down 30">
              <controlPr defaultSize="0" autoLine="0" autoPict="0">
                <anchor moveWithCells="1">
                  <from>
                    <xdr:col>1</xdr:col>
                    <xdr:colOff>9525</xdr:colOff>
                    <xdr:row>40</xdr:row>
                    <xdr:rowOff>19050</xdr:rowOff>
                  </from>
                  <to>
                    <xdr:col>1</xdr:col>
                    <xdr:colOff>1924050</xdr:colOff>
                    <xdr:row>40</xdr:row>
                    <xdr:rowOff>219075</xdr:rowOff>
                  </to>
                </anchor>
              </controlPr>
            </control>
          </mc:Choice>
        </mc:AlternateContent>
        <mc:AlternateContent xmlns:mc="http://schemas.openxmlformats.org/markup-compatibility/2006">
          <mc:Choice Requires="x14">
            <control shapeId="10271" r:id="rId34" name="Drop Down 31">
              <controlPr defaultSize="0" autoLine="0" autoPict="0">
                <anchor moveWithCells="1">
                  <from>
                    <xdr:col>1</xdr:col>
                    <xdr:colOff>9525</xdr:colOff>
                    <xdr:row>41</xdr:row>
                    <xdr:rowOff>19050</xdr:rowOff>
                  </from>
                  <to>
                    <xdr:col>1</xdr:col>
                    <xdr:colOff>1924050</xdr:colOff>
                    <xdr:row>41</xdr:row>
                    <xdr:rowOff>219075</xdr:rowOff>
                  </to>
                </anchor>
              </controlPr>
            </control>
          </mc:Choice>
        </mc:AlternateContent>
        <mc:AlternateContent xmlns:mc="http://schemas.openxmlformats.org/markup-compatibility/2006">
          <mc:Choice Requires="x14">
            <control shapeId="10272" r:id="rId35" name="Drop Down 32">
              <controlPr defaultSize="0" autoLine="0" autoPict="0">
                <anchor moveWithCells="1">
                  <from>
                    <xdr:col>1</xdr:col>
                    <xdr:colOff>9525</xdr:colOff>
                    <xdr:row>42</xdr:row>
                    <xdr:rowOff>19050</xdr:rowOff>
                  </from>
                  <to>
                    <xdr:col>1</xdr:col>
                    <xdr:colOff>1924050</xdr:colOff>
                    <xdr:row>42</xdr:row>
                    <xdr:rowOff>219075</xdr:rowOff>
                  </to>
                </anchor>
              </controlPr>
            </control>
          </mc:Choice>
        </mc:AlternateContent>
        <mc:AlternateContent xmlns:mc="http://schemas.openxmlformats.org/markup-compatibility/2006">
          <mc:Choice Requires="x14">
            <control shapeId="10273" r:id="rId36" name="Drop Down 33">
              <controlPr defaultSize="0" autoLine="0" autoPict="0">
                <anchor moveWithCells="1">
                  <from>
                    <xdr:col>1</xdr:col>
                    <xdr:colOff>9525</xdr:colOff>
                    <xdr:row>43</xdr:row>
                    <xdr:rowOff>19050</xdr:rowOff>
                  </from>
                  <to>
                    <xdr:col>1</xdr:col>
                    <xdr:colOff>1924050</xdr:colOff>
                    <xdr:row>43</xdr:row>
                    <xdr:rowOff>219075</xdr:rowOff>
                  </to>
                </anchor>
              </controlPr>
            </control>
          </mc:Choice>
        </mc:AlternateContent>
        <mc:AlternateContent xmlns:mc="http://schemas.openxmlformats.org/markup-compatibility/2006">
          <mc:Choice Requires="x14">
            <control shapeId="10274" r:id="rId37" name="Drop Down 34">
              <controlPr defaultSize="0" autoLine="0" autoPict="0">
                <anchor moveWithCells="1">
                  <from>
                    <xdr:col>1</xdr:col>
                    <xdr:colOff>9525</xdr:colOff>
                    <xdr:row>44</xdr:row>
                    <xdr:rowOff>19050</xdr:rowOff>
                  </from>
                  <to>
                    <xdr:col>1</xdr:col>
                    <xdr:colOff>1924050</xdr:colOff>
                    <xdr:row>44</xdr:row>
                    <xdr:rowOff>219075</xdr:rowOff>
                  </to>
                </anchor>
              </controlPr>
            </control>
          </mc:Choice>
        </mc:AlternateContent>
        <mc:AlternateContent xmlns:mc="http://schemas.openxmlformats.org/markup-compatibility/2006">
          <mc:Choice Requires="x14">
            <control shapeId="10275" r:id="rId38" name="Drop Down 35">
              <controlPr defaultSize="0" autoLine="0" autoPict="0">
                <anchor moveWithCells="1">
                  <from>
                    <xdr:col>1</xdr:col>
                    <xdr:colOff>9525</xdr:colOff>
                    <xdr:row>45</xdr:row>
                    <xdr:rowOff>19050</xdr:rowOff>
                  </from>
                  <to>
                    <xdr:col>1</xdr:col>
                    <xdr:colOff>1924050</xdr:colOff>
                    <xdr:row>45</xdr:row>
                    <xdr:rowOff>219075</xdr:rowOff>
                  </to>
                </anchor>
              </controlPr>
            </control>
          </mc:Choice>
        </mc:AlternateContent>
        <mc:AlternateContent xmlns:mc="http://schemas.openxmlformats.org/markup-compatibility/2006">
          <mc:Choice Requires="x14">
            <control shapeId="10276" r:id="rId39" name="Drop Down 36">
              <controlPr defaultSize="0" autoLine="0" autoPict="0">
                <anchor moveWithCells="1">
                  <from>
                    <xdr:col>1</xdr:col>
                    <xdr:colOff>9525</xdr:colOff>
                    <xdr:row>46</xdr:row>
                    <xdr:rowOff>19050</xdr:rowOff>
                  </from>
                  <to>
                    <xdr:col>1</xdr:col>
                    <xdr:colOff>1924050</xdr:colOff>
                    <xdr:row>46</xdr:row>
                    <xdr:rowOff>219075</xdr:rowOff>
                  </to>
                </anchor>
              </controlPr>
            </control>
          </mc:Choice>
        </mc:AlternateContent>
        <mc:AlternateContent xmlns:mc="http://schemas.openxmlformats.org/markup-compatibility/2006">
          <mc:Choice Requires="x14">
            <control shapeId="10277" r:id="rId40" name="Drop Down 37">
              <controlPr defaultSize="0" autoLine="0" autoPict="0">
                <anchor moveWithCells="1">
                  <from>
                    <xdr:col>1</xdr:col>
                    <xdr:colOff>9525</xdr:colOff>
                    <xdr:row>47</xdr:row>
                    <xdr:rowOff>19050</xdr:rowOff>
                  </from>
                  <to>
                    <xdr:col>1</xdr:col>
                    <xdr:colOff>1924050</xdr:colOff>
                    <xdr:row>47</xdr:row>
                    <xdr:rowOff>219075</xdr:rowOff>
                  </to>
                </anchor>
              </controlPr>
            </control>
          </mc:Choice>
        </mc:AlternateContent>
        <mc:AlternateContent xmlns:mc="http://schemas.openxmlformats.org/markup-compatibility/2006">
          <mc:Choice Requires="x14">
            <control shapeId="10278" r:id="rId41" name="Drop Down 38">
              <controlPr defaultSize="0" autoLine="0" autoPict="0">
                <anchor moveWithCells="1">
                  <from>
                    <xdr:col>1</xdr:col>
                    <xdr:colOff>9525</xdr:colOff>
                    <xdr:row>48</xdr:row>
                    <xdr:rowOff>19050</xdr:rowOff>
                  </from>
                  <to>
                    <xdr:col>1</xdr:col>
                    <xdr:colOff>1924050</xdr:colOff>
                    <xdr:row>48</xdr:row>
                    <xdr:rowOff>219075</xdr:rowOff>
                  </to>
                </anchor>
              </controlPr>
            </control>
          </mc:Choice>
        </mc:AlternateContent>
        <mc:AlternateContent xmlns:mc="http://schemas.openxmlformats.org/markup-compatibility/2006">
          <mc:Choice Requires="x14">
            <control shapeId="10279" r:id="rId42" name="Drop Down 39">
              <controlPr defaultSize="0" autoLine="0" autoPict="0">
                <anchor moveWithCells="1">
                  <from>
                    <xdr:col>1</xdr:col>
                    <xdr:colOff>9525</xdr:colOff>
                    <xdr:row>49</xdr:row>
                    <xdr:rowOff>19050</xdr:rowOff>
                  </from>
                  <to>
                    <xdr:col>1</xdr:col>
                    <xdr:colOff>1924050</xdr:colOff>
                    <xdr:row>49</xdr:row>
                    <xdr:rowOff>219075</xdr:rowOff>
                  </to>
                </anchor>
              </controlPr>
            </control>
          </mc:Choice>
        </mc:AlternateContent>
        <mc:AlternateContent xmlns:mc="http://schemas.openxmlformats.org/markup-compatibility/2006">
          <mc:Choice Requires="x14">
            <control shapeId="10280" r:id="rId43" name="Drop Down 40">
              <controlPr defaultSize="0" autoLine="0" autoPict="0">
                <anchor moveWithCells="1">
                  <from>
                    <xdr:col>1</xdr:col>
                    <xdr:colOff>9525</xdr:colOff>
                    <xdr:row>50</xdr:row>
                    <xdr:rowOff>19050</xdr:rowOff>
                  </from>
                  <to>
                    <xdr:col>1</xdr:col>
                    <xdr:colOff>1924050</xdr:colOff>
                    <xdr:row>50</xdr:row>
                    <xdr:rowOff>219075</xdr:rowOff>
                  </to>
                </anchor>
              </controlPr>
            </control>
          </mc:Choice>
        </mc:AlternateContent>
        <mc:AlternateContent xmlns:mc="http://schemas.openxmlformats.org/markup-compatibility/2006">
          <mc:Choice Requires="x14">
            <control shapeId="10281" r:id="rId44" name="Drop Down 41">
              <controlPr defaultSize="0" autoLine="0" autoPict="0">
                <anchor moveWithCells="1">
                  <from>
                    <xdr:col>1</xdr:col>
                    <xdr:colOff>9525</xdr:colOff>
                    <xdr:row>51</xdr:row>
                    <xdr:rowOff>19050</xdr:rowOff>
                  </from>
                  <to>
                    <xdr:col>1</xdr:col>
                    <xdr:colOff>1924050</xdr:colOff>
                    <xdr:row>51</xdr:row>
                    <xdr:rowOff>219075</xdr:rowOff>
                  </to>
                </anchor>
              </controlPr>
            </control>
          </mc:Choice>
        </mc:AlternateContent>
        <mc:AlternateContent xmlns:mc="http://schemas.openxmlformats.org/markup-compatibility/2006">
          <mc:Choice Requires="x14">
            <control shapeId="10282" r:id="rId45" name="Drop Down 42">
              <controlPr defaultSize="0" autoLine="0" autoPict="0">
                <anchor moveWithCells="1">
                  <from>
                    <xdr:col>1</xdr:col>
                    <xdr:colOff>9525</xdr:colOff>
                    <xdr:row>52</xdr:row>
                    <xdr:rowOff>19050</xdr:rowOff>
                  </from>
                  <to>
                    <xdr:col>1</xdr:col>
                    <xdr:colOff>1924050</xdr:colOff>
                    <xdr:row>52</xdr:row>
                    <xdr:rowOff>219075</xdr:rowOff>
                  </to>
                </anchor>
              </controlPr>
            </control>
          </mc:Choice>
        </mc:AlternateContent>
        <mc:AlternateContent xmlns:mc="http://schemas.openxmlformats.org/markup-compatibility/2006">
          <mc:Choice Requires="x14">
            <control shapeId="10283" r:id="rId46" name="Drop Down 43">
              <controlPr defaultSize="0" autoLine="0" autoPict="0">
                <anchor moveWithCells="1">
                  <from>
                    <xdr:col>1</xdr:col>
                    <xdr:colOff>9525</xdr:colOff>
                    <xdr:row>53</xdr:row>
                    <xdr:rowOff>19050</xdr:rowOff>
                  </from>
                  <to>
                    <xdr:col>1</xdr:col>
                    <xdr:colOff>1924050</xdr:colOff>
                    <xdr:row>53</xdr:row>
                    <xdr:rowOff>219075</xdr:rowOff>
                  </to>
                </anchor>
              </controlPr>
            </control>
          </mc:Choice>
        </mc:AlternateContent>
        <mc:AlternateContent xmlns:mc="http://schemas.openxmlformats.org/markup-compatibility/2006">
          <mc:Choice Requires="x14">
            <control shapeId="10284" r:id="rId47" name="Drop Down 44">
              <controlPr defaultSize="0" autoLine="0" autoPict="0">
                <anchor moveWithCells="1">
                  <from>
                    <xdr:col>1</xdr:col>
                    <xdr:colOff>9525</xdr:colOff>
                    <xdr:row>54</xdr:row>
                    <xdr:rowOff>19050</xdr:rowOff>
                  </from>
                  <to>
                    <xdr:col>1</xdr:col>
                    <xdr:colOff>1924050</xdr:colOff>
                    <xdr:row>54</xdr:row>
                    <xdr:rowOff>219075</xdr:rowOff>
                  </to>
                </anchor>
              </controlPr>
            </control>
          </mc:Choice>
        </mc:AlternateContent>
        <mc:AlternateContent xmlns:mc="http://schemas.openxmlformats.org/markup-compatibility/2006">
          <mc:Choice Requires="x14">
            <control shapeId="10285" r:id="rId48" name="Drop Down 45">
              <controlPr defaultSize="0" autoLine="0" autoPict="0">
                <anchor moveWithCells="1">
                  <from>
                    <xdr:col>1</xdr:col>
                    <xdr:colOff>9525</xdr:colOff>
                    <xdr:row>55</xdr:row>
                    <xdr:rowOff>19050</xdr:rowOff>
                  </from>
                  <to>
                    <xdr:col>1</xdr:col>
                    <xdr:colOff>1924050</xdr:colOff>
                    <xdr:row>55</xdr:row>
                    <xdr:rowOff>219075</xdr:rowOff>
                  </to>
                </anchor>
              </controlPr>
            </control>
          </mc:Choice>
        </mc:AlternateContent>
        <mc:AlternateContent xmlns:mc="http://schemas.openxmlformats.org/markup-compatibility/2006">
          <mc:Choice Requires="x14">
            <control shapeId="10333" r:id="rId49" name="Check Box 93">
              <controlPr defaultSize="0" autoFill="0" autoLine="0" autoPict="0">
                <anchor moveWithCells="1">
                  <from>
                    <xdr:col>10</xdr:col>
                    <xdr:colOff>247650</xdr:colOff>
                    <xdr:row>59</xdr:row>
                    <xdr:rowOff>0</xdr:rowOff>
                  </from>
                  <to>
                    <xdr:col>10</xdr:col>
                    <xdr:colOff>476250</xdr:colOff>
                    <xdr:row>59</xdr:row>
                    <xdr:rowOff>190500</xdr:rowOff>
                  </to>
                </anchor>
              </controlPr>
            </control>
          </mc:Choice>
        </mc:AlternateContent>
      </controls>
    </mc:Choice>
  </mc:AlternateConten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21"/>
  <dimension ref="A1:R112"/>
  <sheetViews>
    <sheetView showGridLines="0" zoomScaleNormal="100" workbookViewId="0">
      <selection activeCell="T34" sqref="T34"/>
    </sheetView>
  </sheetViews>
  <sheetFormatPr defaultRowHeight="12.75" x14ac:dyDescent="0.2"/>
  <cols>
    <col min="1" max="1" width="3.7109375" customWidth="1"/>
    <col min="2" max="2" width="29.28515625" customWidth="1"/>
    <col min="3" max="3" width="3.5703125" hidden="1" customWidth="1"/>
    <col min="4" max="4" width="4.7109375" customWidth="1"/>
    <col min="5" max="6" width="16" customWidth="1"/>
    <col min="7" max="7" width="10.7109375" customWidth="1"/>
    <col min="8" max="8" width="6" customWidth="1"/>
    <col min="9" max="9" width="10.7109375" customWidth="1"/>
    <col min="10" max="10" width="6" customWidth="1"/>
    <col min="11" max="11" width="10.7109375" customWidth="1"/>
    <col min="12" max="12" width="6" customWidth="1"/>
    <col min="13" max="13" width="9.7109375" customWidth="1"/>
    <col min="14" max="14" width="3.28515625" hidden="1" customWidth="1"/>
    <col min="15" max="15" width="11.28515625" customWidth="1"/>
    <col min="16" max="16" width="10.7109375" customWidth="1"/>
    <col min="17" max="17" width="5.7109375" customWidth="1"/>
    <col min="18" max="18" width="10.7109375" customWidth="1"/>
    <col min="19" max="19" width="12.7109375" customWidth="1"/>
  </cols>
  <sheetData>
    <row r="1" spans="1:18" ht="26.1" customHeight="1" x14ac:dyDescent="0.4">
      <c r="A1" s="1372" t="s">
        <v>372</v>
      </c>
      <c r="B1" s="1540"/>
      <c r="C1" s="216"/>
      <c r="D1" s="1541" t="s">
        <v>364</v>
      </c>
      <c r="E1" s="1374"/>
      <c r="F1" s="1374"/>
      <c r="G1" s="1374"/>
      <c r="H1" s="1374"/>
      <c r="I1" s="1374"/>
      <c r="J1" s="1374"/>
      <c r="K1" s="1542"/>
      <c r="L1" s="1380">
        <f>IF('Complete This Page'!G11="",YEAR('Complete This Page'!H11),'Complete This Page'!G11)</f>
        <v>2018</v>
      </c>
      <c r="M1" s="1381"/>
      <c r="O1" s="171"/>
      <c r="P1" s="171"/>
      <c r="Q1" s="171"/>
      <c r="R1" s="171"/>
    </row>
    <row r="2" spans="1:18" ht="11.25" customHeight="1" x14ac:dyDescent="0.2">
      <c r="A2" s="1545" t="s">
        <v>159</v>
      </c>
      <c r="B2" s="1546"/>
      <c r="C2" s="217"/>
      <c r="D2" s="1543"/>
      <c r="E2" s="1375"/>
      <c r="F2" s="1375"/>
      <c r="G2" s="1375"/>
      <c r="H2" s="1375"/>
      <c r="I2" s="1375"/>
      <c r="J2" s="1375"/>
      <c r="K2" s="1544"/>
      <c r="L2" s="1382" t="str">
        <f>+'Complete This Page'!J1</f>
        <v>NPAC v2018.0</v>
      </c>
      <c r="M2" s="1383"/>
      <c r="O2" s="786"/>
      <c r="P2" s="171"/>
      <c r="Q2" s="171"/>
      <c r="R2" s="171"/>
    </row>
    <row r="3" spans="1:18" x14ac:dyDescent="0.2">
      <c r="A3" s="1" t="s">
        <v>467</v>
      </c>
      <c r="B3" s="879"/>
      <c r="C3" s="879"/>
      <c r="D3" s="879"/>
      <c r="E3" s="879"/>
      <c r="F3" s="879"/>
      <c r="G3" s="879"/>
      <c r="H3" s="879"/>
      <c r="I3" s="880"/>
      <c r="J3" s="334"/>
      <c r="K3" s="335" t="s">
        <v>466</v>
      </c>
      <c r="L3" s="1"/>
      <c r="M3" s="1"/>
      <c r="O3" s="171"/>
      <c r="P3" s="171"/>
      <c r="Q3" s="171"/>
      <c r="R3" s="171"/>
    </row>
    <row r="4" spans="1:18" ht="18" x14ac:dyDescent="0.25">
      <c r="A4" s="881"/>
      <c r="B4" s="1377">
        <f>'Complete This Page'!B3</f>
        <v>0</v>
      </c>
      <c r="C4" s="1377"/>
      <c r="D4" s="1377"/>
      <c r="E4" s="1377"/>
      <c r="F4" s="1377"/>
      <c r="G4" s="1377"/>
      <c r="H4" s="1377"/>
      <c r="I4" s="1377"/>
      <c r="J4" s="1378"/>
      <c r="K4" s="1350">
        <f>'Complete This Page'!G3</f>
        <v>0</v>
      </c>
      <c r="L4" s="1351"/>
      <c r="M4" s="1351"/>
      <c r="O4" s="786"/>
      <c r="P4" s="171"/>
      <c r="Q4" s="171"/>
      <c r="R4" s="171"/>
    </row>
    <row r="5" spans="1:18" s="7" customFormat="1" ht="8.25" x14ac:dyDescent="0.15">
      <c r="L5" s="8"/>
      <c r="M5" s="603"/>
      <c r="O5" s="604"/>
      <c r="P5" s="604"/>
      <c r="Q5" s="604"/>
      <c r="R5" s="604"/>
    </row>
    <row r="6" spans="1:18" x14ac:dyDescent="0.2">
      <c r="B6" s="1550" t="s">
        <v>314</v>
      </c>
      <c r="E6" s="1526" t="s">
        <v>628</v>
      </c>
      <c r="F6" s="1527"/>
      <c r="G6" s="674">
        <f>IF(Overflow!G6="","",Overflow!G6)</f>
        <v>0</v>
      </c>
      <c r="I6" s="1534" t="s">
        <v>631</v>
      </c>
      <c r="J6" s="1535"/>
      <c r="K6" s="675">
        <f>IF(Overflow!K6="","",Overflow!K6)</f>
        <v>0</v>
      </c>
      <c r="L6" s="320"/>
      <c r="N6" s="340">
        <f>IF(G8&gt;0,1,0)</f>
        <v>0</v>
      </c>
      <c r="O6" s="171"/>
      <c r="P6" s="171"/>
      <c r="Q6" s="171"/>
      <c r="R6" s="171"/>
    </row>
    <row r="7" spans="1:18" x14ac:dyDescent="0.2">
      <c r="B7" s="1551"/>
      <c r="D7" s="329"/>
      <c r="E7" s="1528" t="s">
        <v>629</v>
      </c>
      <c r="F7" s="1529"/>
      <c r="G7" s="674">
        <f>IF(Overflow!G7="","",Overflow!G7)</f>
        <v>0</v>
      </c>
      <c r="H7" s="321"/>
      <c r="I7" s="333"/>
      <c r="J7" s="321"/>
      <c r="K7" s="320"/>
      <c r="L7" s="320"/>
      <c r="N7" s="340">
        <f>IF(K6&gt;0,1,0)</f>
        <v>0</v>
      </c>
      <c r="O7" s="171"/>
      <c r="P7" s="342"/>
      <c r="Q7" s="342"/>
      <c r="R7" s="343"/>
    </row>
    <row r="8" spans="1:18" x14ac:dyDescent="0.2">
      <c r="B8" s="1551"/>
      <c r="D8" s="329"/>
      <c r="E8" s="1532" t="s">
        <v>630</v>
      </c>
      <c r="F8" s="1533"/>
      <c r="G8" s="599">
        <f>SUM(G6:G7)</f>
        <v>0</v>
      </c>
      <c r="H8" s="321"/>
      <c r="I8" s="1536" t="s">
        <v>632</v>
      </c>
      <c r="J8" s="1537"/>
      <c r="K8" s="675">
        <f>IF(Overflow!K8="","",Overflow!K8)</f>
        <v>0</v>
      </c>
      <c r="N8" s="340">
        <f>IF(K8&gt;0,1,0)</f>
        <v>0</v>
      </c>
      <c r="O8" s="171"/>
      <c r="P8" s="171"/>
      <c r="Q8" s="171"/>
      <c r="R8" s="171"/>
    </row>
    <row r="9" spans="1:18" s="7" customFormat="1" ht="11.25" customHeight="1" x14ac:dyDescent="0.15">
      <c r="N9" s="605">
        <f>SUM(N6:N8)</f>
        <v>0</v>
      </c>
      <c r="O9" s="604"/>
      <c r="P9" s="604"/>
      <c r="Q9" s="604"/>
      <c r="R9" s="604"/>
    </row>
    <row r="10" spans="1:18" s="1" customFormat="1" ht="11.25" x14ac:dyDescent="0.2">
      <c r="B10" s="322"/>
      <c r="D10" s="1547" t="s">
        <v>588</v>
      </c>
      <c r="E10" s="1530" t="s">
        <v>621</v>
      </c>
      <c r="F10" s="1531"/>
      <c r="G10" s="1531"/>
      <c r="H10" s="1538"/>
      <c r="I10" s="1530" t="s">
        <v>627</v>
      </c>
      <c r="J10" s="1531"/>
      <c r="K10" s="1006" t="s">
        <v>1670</v>
      </c>
      <c r="L10" s="1007"/>
      <c r="M10" s="21" t="s">
        <v>620</v>
      </c>
      <c r="O10" s="344"/>
      <c r="P10" s="344"/>
      <c r="Q10" s="344"/>
      <c r="R10" s="344"/>
    </row>
    <row r="11" spans="1:18" x14ac:dyDescent="0.2">
      <c r="B11" s="323" t="s">
        <v>618</v>
      </c>
      <c r="C11" s="324" t="s">
        <v>164</v>
      </c>
      <c r="D11" s="1548"/>
      <c r="E11" s="22" t="s">
        <v>622</v>
      </c>
      <c r="F11" s="22" t="s">
        <v>623</v>
      </c>
      <c r="G11" s="22" t="s">
        <v>624</v>
      </c>
      <c r="H11" s="22" t="s">
        <v>625</v>
      </c>
      <c r="I11" s="22" t="s">
        <v>619</v>
      </c>
      <c r="J11" s="22" t="s">
        <v>625</v>
      </c>
      <c r="K11" s="22" t="s">
        <v>626</v>
      </c>
      <c r="L11" s="22" t="s">
        <v>625</v>
      </c>
      <c r="M11" s="22"/>
      <c r="O11" s="171"/>
      <c r="P11" s="171"/>
      <c r="Q11" s="171"/>
      <c r="R11" s="171"/>
    </row>
    <row r="12" spans="1:18" ht="18" customHeight="1" x14ac:dyDescent="0.2">
      <c r="A12" s="325">
        <v>136</v>
      </c>
      <c r="B12" s="878"/>
      <c r="C12" s="326">
        <v>1</v>
      </c>
      <c r="D12" s="327">
        <f>LOOKUP(C12,Cities!A$3:A$343,Cities!B$3:B$343)</f>
        <v>0</v>
      </c>
      <c r="E12" s="332">
        <v>0</v>
      </c>
      <c r="F12" s="332">
        <v>0</v>
      </c>
      <c r="G12" s="331">
        <f t="shared" ref="G12:G56" si="0">+E12+F12</f>
        <v>0</v>
      </c>
      <c r="H12" s="914" t="str">
        <f t="shared" ref="H12:H56" si="1">IF(G$8&gt;0,ROUND(G12/G$8,6),"n/a")</f>
        <v>n/a</v>
      </c>
      <c r="I12" s="332">
        <v>0</v>
      </c>
      <c r="J12" s="914" t="str">
        <f>IF(Overflow!K$6&gt;0,ROUND(I12/Overflow!K$6,6),"n/a")</f>
        <v>n/a</v>
      </c>
      <c r="K12" s="332">
        <v>0</v>
      </c>
      <c r="L12" s="914" t="str">
        <f>IF(Overflow!K$8&gt;0,ROUND(K12/Overflow!K$8,6),"n/a")</f>
        <v>n/a</v>
      </c>
      <c r="M12" s="330">
        <f>IF(Overflow!G$8+Overflow!K$6+Overflow!K$8=0,0,ROUND((IF(H12="n/a",0,H12)+IF(J12="n/a",0,J12)+IF(L12="n/a",0,L12))/N$9,6))</f>
        <v>0</v>
      </c>
      <c r="O12" s="785">
        <f>LOOKUP(C12,Cities!A$3:A$343,Cities!AA$3:AA$343)</f>
        <v>0</v>
      </c>
      <c r="P12" s="171"/>
      <c r="Q12" s="171"/>
      <c r="R12" s="171"/>
    </row>
    <row r="13" spans="1:18" ht="18" customHeight="1" x14ac:dyDescent="0.2">
      <c r="A13" s="325">
        <f>A12+1</f>
        <v>137</v>
      </c>
      <c r="B13" s="878"/>
      <c r="C13" s="326">
        <v>1</v>
      </c>
      <c r="D13" s="327">
        <f>LOOKUP(C13,Cities!A$3:A$343,Cities!B$3:B$343)</f>
        <v>0</v>
      </c>
      <c r="E13" s="332">
        <v>0</v>
      </c>
      <c r="F13" s="332">
        <v>0</v>
      </c>
      <c r="G13" s="331">
        <f t="shared" si="0"/>
        <v>0</v>
      </c>
      <c r="H13" s="914" t="str">
        <f t="shared" si="1"/>
        <v>n/a</v>
      </c>
      <c r="I13" s="332">
        <v>0</v>
      </c>
      <c r="J13" s="914" t="str">
        <f>IF(Overflow!K$6&gt;0,ROUND(I13/Overflow!K$6,6),"n/a")</f>
        <v>n/a</v>
      </c>
      <c r="K13" s="332">
        <v>0</v>
      </c>
      <c r="L13" s="914" t="str">
        <f>IF(Overflow!K$8&gt;0,ROUND(K13/Overflow!K$8,6),"n/a")</f>
        <v>n/a</v>
      </c>
      <c r="M13" s="330">
        <f>IF(Overflow!G$8+Overflow!K$6+Overflow!K$8=0,0,ROUND((IF(H13="n/a",0,H13)+IF(J13="n/a",0,J13)+IF(L13="n/a",0,L13))/N$9,6))</f>
        <v>0</v>
      </c>
      <c r="O13" s="785">
        <f>LOOKUP(C13,Cities!A$3:A$343,Cities!AA$3:AA$343)</f>
        <v>0</v>
      </c>
      <c r="P13" s="171"/>
      <c r="Q13" s="171"/>
      <c r="R13" s="171"/>
    </row>
    <row r="14" spans="1:18" ht="18" customHeight="1" x14ac:dyDescent="0.2">
      <c r="A14" s="325">
        <f t="shared" ref="A14:A56" si="2">A13+1</f>
        <v>138</v>
      </c>
      <c r="B14" s="878"/>
      <c r="C14" s="326">
        <v>1</v>
      </c>
      <c r="D14" s="327">
        <f>LOOKUP(C14,Cities!A$3:A$343,Cities!B$3:B$343)</f>
        <v>0</v>
      </c>
      <c r="E14" s="332">
        <v>0</v>
      </c>
      <c r="F14" s="332">
        <v>0</v>
      </c>
      <c r="G14" s="331">
        <f t="shared" si="0"/>
        <v>0</v>
      </c>
      <c r="H14" s="914" t="str">
        <f t="shared" si="1"/>
        <v>n/a</v>
      </c>
      <c r="I14" s="332">
        <v>0</v>
      </c>
      <c r="J14" s="914" t="str">
        <f>IF(Overflow!K$6&gt;0,ROUND(I14/Overflow!K$6,6),"n/a")</f>
        <v>n/a</v>
      </c>
      <c r="K14" s="332">
        <v>0</v>
      </c>
      <c r="L14" s="914" t="str">
        <f>IF(Overflow!K$8&gt;0,ROUND(K14/Overflow!K$8,6),"n/a")</f>
        <v>n/a</v>
      </c>
      <c r="M14" s="330">
        <f>IF(Overflow!G$8+Overflow!K$6+Overflow!K$8=0,0,ROUND((IF(H14="n/a",0,H14)+IF(J14="n/a",0,J14)+IF(L14="n/a",0,L14))/N$9,6))</f>
        <v>0</v>
      </c>
      <c r="O14" s="785">
        <f>LOOKUP(C14,Cities!A$3:A$343,Cities!AA$3:AA$343)</f>
        <v>0</v>
      </c>
      <c r="P14" s="171"/>
      <c r="Q14" s="171"/>
      <c r="R14" s="171"/>
    </row>
    <row r="15" spans="1:18" ht="18" customHeight="1" x14ac:dyDescent="0.2">
      <c r="A15" s="325">
        <f t="shared" si="2"/>
        <v>139</v>
      </c>
      <c r="B15" s="878"/>
      <c r="C15" s="326">
        <v>1</v>
      </c>
      <c r="D15" s="327">
        <f>LOOKUP(C15,Cities!A$3:A$343,Cities!B$3:B$343)</f>
        <v>0</v>
      </c>
      <c r="E15" s="332">
        <v>0</v>
      </c>
      <c r="F15" s="332">
        <v>0</v>
      </c>
      <c r="G15" s="331">
        <f t="shared" si="0"/>
        <v>0</v>
      </c>
      <c r="H15" s="914" t="str">
        <f t="shared" si="1"/>
        <v>n/a</v>
      </c>
      <c r="I15" s="332">
        <v>0</v>
      </c>
      <c r="J15" s="914" t="str">
        <f>IF(Overflow!K$6&gt;0,ROUND(I15/Overflow!K$6,6),"n/a")</f>
        <v>n/a</v>
      </c>
      <c r="K15" s="332">
        <v>0</v>
      </c>
      <c r="L15" s="914" t="str">
        <f>IF(Overflow!K$8&gt;0,ROUND(K15/Overflow!K$8,6),"n/a")</f>
        <v>n/a</v>
      </c>
      <c r="M15" s="330">
        <f>IF(Overflow!G$8+Overflow!K$6+Overflow!K$8=0,0,ROUND((IF(H15="n/a",0,H15)+IF(J15="n/a",0,J15)+IF(L15="n/a",0,L15))/N$9,6))</f>
        <v>0</v>
      </c>
      <c r="O15" s="785">
        <f>LOOKUP(C15,Cities!A$3:A$343,Cities!AA$3:AA$343)</f>
        <v>0</v>
      </c>
      <c r="P15" s="171"/>
      <c r="Q15" s="171"/>
      <c r="R15" s="171"/>
    </row>
    <row r="16" spans="1:18" ht="18" customHeight="1" x14ac:dyDescent="0.2">
      <c r="A16" s="325">
        <f t="shared" si="2"/>
        <v>140</v>
      </c>
      <c r="B16" s="878"/>
      <c r="C16" s="326">
        <v>1</v>
      </c>
      <c r="D16" s="327">
        <f>LOOKUP(C16,Cities!A$3:A$343,Cities!B$3:B$343)</f>
        <v>0</v>
      </c>
      <c r="E16" s="332">
        <v>0</v>
      </c>
      <c r="F16" s="332">
        <v>0</v>
      </c>
      <c r="G16" s="331">
        <f t="shared" si="0"/>
        <v>0</v>
      </c>
      <c r="H16" s="914" t="str">
        <f t="shared" si="1"/>
        <v>n/a</v>
      </c>
      <c r="I16" s="332">
        <v>0</v>
      </c>
      <c r="J16" s="914" t="str">
        <f>IF(Overflow!K$6&gt;0,ROUND(I16/Overflow!K$6,6),"n/a")</f>
        <v>n/a</v>
      </c>
      <c r="K16" s="332">
        <v>0</v>
      </c>
      <c r="L16" s="914" t="str">
        <f>IF(Overflow!K$8&gt;0,ROUND(K16/Overflow!K$8,6),"n/a")</f>
        <v>n/a</v>
      </c>
      <c r="M16" s="330">
        <f>IF(Overflow!G$8+Overflow!K$6+Overflow!K$8=0,0,ROUND((IF(H16="n/a",0,H16)+IF(J16="n/a",0,J16)+IF(L16="n/a",0,L16))/N$9,6))</f>
        <v>0</v>
      </c>
      <c r="O16" s="785">
        <f>LOOKUP(C16,Cities!A$3:A$343,Cities!AA$3:AA$343)</f>
        <v>0</v>
      </c>
      <c r="P16" s="171"/>
      <c r="Q16" s="171"/>
      <c r="R16" s="171"/>
    </row>
    <row r="17" spans="1:18" ht="18" customHeight="1" x14ac:dyDescent="0.2">
      <c r="A17" s="325">
        <f t="shared" si="2"/>
        <v>141</v>
      </c>
      <c r="B17" s="878"/>
      <c r="C17" s="326">
        <v>1</v>
      </c>
      <c r="D17" s="327">
        <f>LOOKUP(C17,Cities!A$3:A$343,Cities!B$3:B$343)</f>
        <v>0</v>
      </c>
      <c r="E17" s="332">
        <v>0</v>
      </c>
      <c r="F17" s="332">
        <v>0</v>
      </c>
      <c r="G17" s="331">
        <f t="shared" si="0"/>
        <v>0</v>
      </c>
      <c r="H17" s="914" t="str">
        <f t="shared" si="1"/>
        <v>n/a</v>
      </c>
      <c r="I17" s="332">
        <v>0</v>
      </c>
      <c r="J17" s="914" t="str">
        <f>IF(Overflow!K$6&gt;0,ROUND(I17/Overflow!K$6,6),"n/a")</f>
        <v>n/a</v>
      </c>
      <c r="K17" s="332">
        <v>0</v>
      </c>
      <c r="L17" s="914" t="str">
        <f>IF(Overflow!K$8&gt;0,ROUND(K17/Overflow!K$8,6),"n/a")</f>
        <v>n/a</v>
      </c>
      <c r="M17" s="330">
        <f>IF(Overflow!G$8+Overflow!K$6+Overflow!K$8=0,0,ROUND((IF(H17="n/a",0,H17)+IF(J17="n/a",0,J17)+IF(L17="n/a",0,L17))/N$9,6))</f>
        <v>0</v>
      </c>
      <c r="O17" s="785">
        <f>LOOKUP(C17,Cities!A$3:A$343,Cities!AA$3:AA$343)</f>
        <v>0</v>
      </c>
      <c r="P17" s="171"/>
      <c r="Q17" s="171"/>
      <c r="R17" s="171"/>
    </row>
    <row r="18" spans="1:18" ht="18" customHeight="1" x14ac:dyDescent="0.2">
      <c r="A18" s="325">
        <f t="shared" si="2"/>
        <v>142</v>
      </c>
      <c r="B18" s="878"/>
      <c r="C18" s="326">
        <v>1</v>
      </c>
      <c r="D18" s="327">
        <f>LOOKUP(C18,Cities!A$3:A$343,Cities!B$3:B$343)</f>
        <v>0</v>
      </c>
      <c r="E18" s="332">
        <v>0</v>
      </c>
      <c r="F18" s="332">
        <v>0</v>
      </c>
      <c r="G18" s="331">
        <f t="shared" si="0"/>
        <v>0</v>
      </c>
      <c r="H18" s="914" t="str">
        <f t="shared" si="1"/>
        <v>n/a</v>
      </c>
      <c r="I18" s="332">
        <v>0</v>
      </c>
      <c r="J18" s="914" t="str">
        <f>IF(Overflow!K$6&gt;0,ROUND(I18/Overflow!K$6,6),"n/a")</f>
        <v>n/a</v>
      </c>
      <c r="K18" s="332">
        <v>0</v>
      </c>
      <c r="L18" s="914" t="str">
        <f>IF(Overflow!K$8&gt;0,ROUND(K18/Overflow!K$8,6),"n/a")</f>
        <v>n/a</v>
      </c>
      <c r="M18" s="330">
        <f>IF(Overflow!G$8+Overflow!K$6+Overflow!K$8=0,0,ROUND((IF(H18="n/a",0,H18)+IF(J18="n/a",0,J18)+IF(L18="n/a",0,L18))/N$9,6))</f>
        <v>0</v>
      </c>
      <c r="O18" s="785">
        <f>LOOKUP(C18,Cities!A$3:A$343,Cities!AA$3:AA$343)</f>
        <v>0</v>
      </c>
      <c r="P18" s="171"/>
      <c r="Q18" s="171"/>
      <c r="R18" s="171"/>
    </row>
    <row r="19" spans="1:18" ht="18" customHeight="1" x14ac:dyDescent="0.2">
      <c r="A19" s="325">
        <f t="shared" si="2"/>
        <v>143</v>
      </c>
      <c r="B19" s="878"/>
      <c r="C19" s="326">
        <v>1</v>
      </c>
      <c r="D19" s="327">
        <f>LOOKUP(C19,Cities!A$3:A$343,Cities!B$3:B$343)</f>
        <v>0</v>
      </c>
      <c r="E19" s="332">
        <v>0</v>
      </c>
      <c r="F19" s="332">
        <v>0</v>
      </c>
      <c r="G19" s="331">
        <f t="shared" si="0"/>
        <v>0</v>
      </c>
      <c r="H19" s="914" t="str">
        <f t="shared" si="1"/>
        <v>n/a</v>
      </c>
      <c r="I19" s="332">
        <v>0</v>
      </c>
      <c r="J19" s="914" t="str">
        <f>IF(Overflow!K$6&gt;0,ROUND(I19/Overflow!K$6,6),"n/a")</f>
        <v>n/a</v>
      </c>
      <c r="K19" s="332">
        <v>0</v>
      </c>
      <c r="L19" s="914" t="str">
        <f>IF(Overflow!K$8&gt;0,ROUND(K19/Overflow!K$8,6),"n/a")</f>
        <v>n/a</v>
      </c>
      <c r="M19" s="330">
        <f>IF(Overflow!G$8+Overflow!K$6+Overflow!K$8=0,0,ROUND((IF(H19="n/a",0,H19)+IF(J19="n/a",0,J19)+IF(L19="n/a",0,L19))/N$9,6))</f>
        <v>0</v>
      </c>
      <c r="O19" s="785">
        <f>LOOKUP(C19,Cities!A$3:A$343,Cities!AA$3:AA$343)</f>
        <v>0</v>
      </c>
      <c r="P19" s="171"/>
      <c r="Q19" s="171"/>
      <c r="R19" s="171"/>
    </row>
    <row r="20" spans="1:18" ht="18" customHeight="1" x14ac:dyDescent="0.2">
      <c r="A20" s="325">
        <f t="shared" si="2"/>
        <v>144</v>
      </c>
      <c r="B20" s="878"/>
      <c r="C20" s="326">
        <v>1</v>
      </c>
      <c r="D20" s="327">
        <f>LOOKUP(C20,Cities!A$3:A$343,Cities!B$3:B$343)</f>
        <v>0</v>
      </c>
      <c r="E20" s="332">
        <v>0</v>
      </c>
      <c r="F20" s="332">
        <v>0</v>
      </c>
      <c r="G20" s="331">
        <f t="shared" si="0"/>
        <v>0</v>
      </c>
      <c r="H20" s="914" t="str">
        <f t="shared" si="1"/>
        <v>n/a</v>
      </c>
      <c r="I20" s="332">
        <v>0</v>
      </c>
      <c r="J20" s="914" t="str">
        <f>IF(Overflow!K$6&gt;0,ROUND(I20/Overflow!K$6,6),"n/a")</f>
        <v>n/a</v>
      </c>
      <c r="K20" s="332">
        <v>0</v>
      </c>
      <c r="L20" s="914" t="str">
        <f>IF(Overflow!K$8&gt;0,ROUND(K20/Overflow!K$8,6),"n/a")</f>
        <v>n/a</v>
      </c>
      <c r="M20" s="330">
        <f>IF(Overflow!G$8+Overflow!K$6+Overflow!K$8=0,0,ROUND((IF(H20="n/a",0,H20)+IF(J20="n/a",0,J20)+IF(L20="n/a",0,L20))/N$9,6))</f>
        <v>0</v>
      </c>
      <c r="O20" s="785">
        <f>LOOKUP(C20,Cities!A$3:A$343,Cities!AA$3:AA$343)</f>
        <v>0</v>
      </c>
      <c r="P20" s="171"/>
      <c r="Q20" s="171"/>
      <c r="R20" s="171"/>
    </row>
    <row r="21" spans="1:18" ht="18" customHeight="1" x14ac:dyDescent="0.2">
      <c r="A21" s="325">
        <f t="shared" si="2"/>
        <v>145</v>
      </c>
      <c r="B21" s="878"/>
      <c r="C21" s="326">
        <v>1</v>
      </c>
      <c r="D21" s="327">
        <f>LOOKUP(C21,Cities!A$3:A$343,Cities!B$3:B$343)</f>
        <v>0</v>
      </c>
      <c r="E21" s="332">
        <v>0</v>
      </c>
      <c r="F21" s="332">
        <v>0</v>
      </c>
      <c r="G21" s="331">
        <f t="shared" si="0"/>
        <v>0</v>
      </c>
      <c r="H21" s="914" t="str">
        <f t="shared" si="1"/>
        <v>n/a</v>
      </c>
      <c r="I21" s="332">
        <v>0</v>
      </c>
      <c r="J21" s="914" t="str">
        <f>IF(Overflow!K$6&gt;0,ROUND(I21/Overflow!K$6,6),"n/a")</f>
        <v>n/a</v>
      </c>
      <c r="K21" s="332">
        <v>0</v>
      </c>
      <c r="L21" s="914" t="str">
        <f>IF(Overflow!K$8&gt;0,ROUND(K21/Overflow!K$8,6),"n/a")</f>
        <v>n/a</v>
      </c>
      <c r="M21" s="330">
        <f>IF(Overflow!G$8+Overflow!K$6+Overflow!K$8=0,0,ROUND((IF(H21="n/a",0,H21)+IF(J21="n/a",0,J21)+IF(L21="n/a",0,L21))/N$9,6))</f>
        <v>0</v>
      </c>
      <c r="O21" s="785">
        <f>LOOKUP(C21,Cities!A$3:A$343,Cities!AA$3:AA$343)</f>
        <v>0</v>
      </c>
      <c r="P21" s="171"/>
      <c r="Q21" s="171"/>
      <c r="R21" s="171"/>
    </row>
    <row r="22" spans="1:18" ht="18" customHeight="1" x14ac:dyDescent="0.2">
      <c r="A22" s="325">
        <f t="shared" si="2"/>
        <v>146</v>
      </c>
      <c r="B22" s="878"/>
      <c r="C22" s="326">
        <v>1</v>
      </c>
      <c r="D22" s="327">
        <f>LOOKUP(C22,Cities!A$3:A$343,Cities!B$3:B$343)</f>
        <v>0</v>
      </c>
      <c r="E22" s="332">
        <v>0</v>
      </c>
      <c r="F22" s="332">
        <v>0</v>
      </c>
      <c r="G22" s="331">
        <f t="shared" si="0"/>
        <v>0</v>
      </c>
      <c r="H22" s="914" t="str">
        <f t="shared" si="1"/>
        <v>n/a</v>
      </c>
      <c r="I22" s="332">
        <v>0</v>
      </c>
      <c r="J22" s="914" t="str">
        <f>IF(Overflow!K$6&gt;0,ROUND(I22/Overflow!K$6,6),"n/a")</f>
        <v>n/a</v>
      </c>
      <c r="K22" s="332">
        <v>0</v>
      </c>
      <c r="L22" s="914" t="str">
        <f>IF(Overflow!K$8&gt;0,ROUND(K22/Overflow!K$8,6),"n/a")</f>
        <v>n/a</v>
      </c>
      <c r="M22" s="330">
        <f>IF(Overflow!G$8+Overflow!K$6+Overflow!K$8=0,0,ROUND((IF(H22="n/a",0,H22)+IF(J22="n/a",0,J22)+IF(L22="n/a",0,L22))/N$9,6))</f>
        <v>0</v>
      </c>
      <c r="O22" s="785">
        <f>LOOKUP(C22,Cities!A$3:A$343,Cities!AA$3:AA$343)</f>
        <v>0</v>
      </c>
      <c r="P22" s="171"/>
      <c r="Q22" s="171"/>
      <c r="R22" s="171"/>
    </row>
    <row r="23" spans="1:18" ht="18" customHeight="1" x14ac:dyDescent="0.2">
      <c r="A23" s="325">
        <f t="shared" si="2"/>
        <v>147</v>
      </c>
      <c r="B23" s="878"/>
      <c r="C23" s="326">
        <v>1</v>
      </c>
      <c r="D23" s="327">
        <f>LOOKUP(C23,Cities!A$3:A$343,Cities!B$3:B$343)</f>
        <v>0</v>
      </c>
      <c r="E23" s="332">
        <v>0</v>
      </c>
      <c r="F23" s="332">
        <v>0</v>
      </c>
      <c r="G23" s="331">
        <f t="shared" si="0"/>
        <v>0</v>
      </c>
      <c r="H23" s="914" t="str">
        <f t="shared" si="1"/>
        <v>n/a</v>
      </c>
      <c r="I23" s="332">
        <v>0</v>
      </c>
      <c r="J23" s="914" t="str">
        <f>IF(Overflow!K$6&gt;0,ROUND(I23/Overflow!K$6,6),"n/a")</f>
        <v>n/a</v>
      </c>
      <c r="K23" s="332">
        <v>0</v>
      </c>
      <c r="L23" s="914" t="str">
        <f>IF(Overflow!K$8&gt;0,ROUND(K23/Overflow!K$8,6),"n/a")</f>
        <v>n/a</v>
      </c>
      <c r="M23" s="330">
        <f>IF(Overflow!G$8+Overflow!K$6+Overflow!K$8=0,0,ROUND((IF(H23="n/a",0,H23)+IF(J23="n/a",0,J23)+IF(L23="n/a",0,L23))/N$9,6))</f>
        <v>0</v>
      </c>
      <c r="O23" s="785">
        <f>LOOKUP(C23,Cities!A$3:A$343,Cities!AA$3:AA$343)</f>
        <v>0</v>
      </c>
      <c r="P23" s="171"/>
      <c r="Q23" s="171"/>
      <c r="R23" s="171"/>
    </row>
    <row r="24" spans="1:18" ht="18" customHeight="1" x14ac:dyDescent="0.2">
      <c r="A24" s="325">
        <f t="shared" si="2"/>
        <v>148</v>
      </c>
      <c r="B24" s="878"/>
      <c r="C24" s="326">
        <v>1</v>
      </c>
      <c r="D24" s="327">
        <f>LOOKUP(C24,Cities!A$3:A$343,Cities!B$3:B$343)</f>
        <v>0</v>
      </c>
      <c r="E24" s="332">
        <v>0</v>
      </c>
      <c r="F24" s="332">
        <v>0</v>
      </c>
      <c r="G24" s="331">
        <f t="shared" si="0"/>
        <v>0</v>
      </c>
      <c r="H24" s="914" t="str">
        <f t="shared" si="1"/>
        <v>n/a</v>
      </c>
      <c r="I24" s="332">
        <v>0</v>
      </c>
      <c r="J24" s="914" t="str">
        <f>IF(Overflow!K$6&gt;0,ROUND(I24/Overflow!K$6,6),"n/a")</f>
        <v>n/a</v>
      </c>
      <c r="K24" s="332">
        <v>0</v>
      </c>
      <c r="L24" s="914" t="str">
        <f>IF(Overflow!K$8&gt;0,ROUND(K24/Overflow!K$8,6),"n/a")</f>
        <v>n/a</v>
      </c>
      <c r="M24" s="330">
        <f>IF(Overflow!G$8+Overflow!K$6+Overflow!K$8=0,0,ROUND((IF(H24="n/a",0,H24)+IF(J24="n/a",0,J24)+IF(L24="n/a",0,L24))/N$9,6))</f>
        <v>0</v>
      </c>
      <c r="O24" s="785">
        <f>LOOKUP(C24,Cities!A$3:A$343,Cities!AA$3:AA$343)</f>
        <v>0</v>
      </c>
      <c r="P24" s="171"/>
      <c r="Q24" s="171"/>
      <c r="R24" s="171"/>
    </row>
    <row r="25" spans="1:18" ht="18" customHeight="1" x14ac:dyDescent="0.2">
      <c r="A25" s="325">
        <f t="shared" si="2"/>
        <v>149</v>
      </c>
      <c r="B25" s="878"/>
      <c r="C25" s="326">
        <v>1</v>
      </c>
      <c r="D25" s="327">
        <f>LOOKUP(C25,Cities!A$3:A$343,Cities!B$3:B$343)</f>
        <v>0</v>
      </c>
      <c r="E25" s="332">
        <v>0</v>
      </c>
      <c r="F25" s="332">
        <v>0</v>
      </c>
      <c r="G25" s="331">
        <f t="shared" si="0"/>
        <v>0</v>
      </c>
      <c r="H25" s="914" t="str">
        <f t="shared" si="1"/>
        <v>n/a</v>
      </c>
      <c r="I25" s="332">
        <v>0</v>
      </c>
      <c r="J25" s="914" t="str">
        <f>IF(Overflow!K$6&gt;0,ROUND(I25/Overflow!K$6,6),"n/a")</f>
        <v>n/a</v>
      </c>
      <c r="K25" s="332">
        <v>0</v>
      </c>
      <c r="L25" s="914" t="str">
        <f>IF(Overflow!K$8&gt;0,ROUND(K25/Overflow!K$8,6),"n/a")</f>
        <v>n/a</v>
      </c>
      <c r="M25" s="330">
        <f>IF(Overflow!G$8+Overflow!K$6+Overflow!K$8=0,0,ROUND((IF(H25="n/a",0,H25)+IF(J25="n/a",0,J25)+IF(L25="n/a",0,L25))/N$9,6))</f>
        <v>0</v>
      </c>
      <c r="O25" s="785">
        <f>LOOKUP(C25,Cities!A$3:A$343,Cities!AA$3:AA$343)</f>
        <v>0</v>
      </c>
      <c r="P25" s="171"/>
      <c r="Q25" s="171"/>
      <c r="R25" s="171"/>
    </row>
    <row r="26" spans="1:18" ht="18" customHeight="1" x14ac:dyDescent="0.2">
      <c r="A26" s="325">
        <f t="shared" si="2"/>
        <v>150</v>
      </c>
      <c r="B26" s="878"/>
      <c r="C26" s="326">
        <v>1</v>
      </c>
      <c r="D26" s="327">
        <f>LOOKUP(C26,Cities!A$3:A$343,Cities!B$3:B$343)</f>
        <v>0</v>
      </c>
      <c r="E26" s="332">
        <v>0</v>
      </c>
      <c r="F26" s="332">
        <v>0</v>
      </c>
      <c r="G26" s="331">
        <f t="shared" si="0"/>
        <v>0</v>
      </c>
      <c r="H26" s="914" t="str">
        <f t="shared" si="1"/>
        <v>n/a</v>
      </c>
      <c r="I26" s="332">
        <v>0</v>
      </c>
      <c r="J26" s="914" t="str">
        <f>IF(Overflow!K$6&gt;0,ROUND(I26/Overflow!K$6,6),"n/a")</f>
        <v>n/a</v>
      </c>
      <c r="K26" s="332">
        <v>0</v>
      </c>
      <c r="L26" s="914" t="str">
        <f>IF(Overflow!K$8&gt;0,ROUND(K26/Overflow!K$8,6),"n/a")</f>
        <v>n/a</v>
      </c>
      <c r="M26" s="330">
        <f>IF(Overflow!G$8+Overflow!K$6+Overflow!K$8=0,0,ROUND((IF(H26="n/a",0,H26)+IF(J26="n/a",0,J26)+IF(L26="n/a",0,L26))/N$9,6))</f>
        <v>0</v>
      </c>
      <c r="O26" s="785">
        <f>LOOKUP(C26,Cities!A$3:A$343,Cities!AA$3:AA$343)</f>
        <v>0</v>
      </c>
      <c r="P26" s="171"/>
      <c r="Q26" s="171"/>
      <c r="R26" s="171"/>
    </row>
    <row r="27" spans="1:18" s="67" customFormat="1" ht="18" customHeight="1" x14ac:dyDescent="0.2">
      <c r="A27" s="325">
        <f t="shared" si="2"/>
        <v>151</v>
      </c>
      <c r="B27" s="878"/>
      <c r="C27" s="326">
        <v>1</v>
      </c>
      <c r="D27" s="327">
        <f>LOOKUP(C27,Cities!A$3:A$343,Cities!B$3:B$343)</f>
        <v>0</v>
      </c>
      <c r="E27" s="332">
        <v>0</v>
      </c>
      <c r="F27" s="332">
        <v>0</v>
      </c>
      <c r="G27" s="331">
        <f t="shared" si="0"/>
        <v>0</v>
      </c>
      <c r="H27" s="914" t="str">
        <f t="shared" si="1"/>
        <v>n/a</v>
      </c>
      <c r="I27" s="332">
        <v>0</v>
      </c>
      <c r="J27" s="914" t="str">
        <f>IF(Overflow!K$6&gt;0,ROUND(I27/Overflow!K$6,6),"n/a")</f>
        <v>n/a</v>
      </c>
      <c r="K27" s="332">
        <v>0</v>
      </c>
      <c r="L27" s="914" t="str">
        <f>IF(Overflow!K$8&gt;0,ROUND(K27/Overflow!K$8,6),"n/a")</f>
        <v>n/a</v>
      </c>
      <c r="M27" s="330">
        <f>IF(Overflow!G$8+Overflow!K$6+Overflow!K$8=0,0,ROUND((IF(H27="n/a",0,H27)+IF(J27="n/a",0,J27)+IF(L27="n/a",0,L27))/N$9,6))</f>
        <v>0</v>
      </c>
      <c r="O27" s="785">
        <f>LOOKUP(C27,Cities!A$3:A$343,Cities!AA$3:AA$343)</f>
        <v>0</v>
      </c>
      <c r="P27" s="345"/>
      <c r="Q27" s="345"/>
      <c r="R27" s="345"/>
    </row>
    <row r="28" spans="1:18" s="67" customFormat="1" ht="18" customHeight="1" x14ac:dyDescent="0.2">
      <c r="A28" s="325">
        <f t="shared" si="2"/>
        <v>152</v>
      </c>
      <c r="B28" s="878"/>
      <c r="C28" s="326">
        <v>1</v>
      </c>
      <c r="D28" s="327">
        <f>LOOKUP(C28,Cities!A$3:A$343,Cities!B$3:B$343)</f>
        <v>0</v>
      </c>
      <c r="E28" s="332">
        <v>0</v>
      </c>
      <c r="F28" s="332">
        <v>0</v>
      </c>
      <c r="G28" s="331">
        <f t="shared" si="0"/>
        <v>0</v>
      </c>
      <c r="H28" s="914" t="str">
        <f t="shared" si="1"/>
        <v>n/a</v>
      </c>
      <c r="I28" s="332">
        <v>0</v>
      </c>
      <c r="J28" s="914" t="str">
        <f>IF(Overflow!K$6&gt;0,ROUND(I28/Overflow!K$6,6),"n/a")</f>
        <v>n/a</v>
      </c>
      <c r="K28" s="332">
        <v>0</v>
      </c>
      <c r="L28" s="914" t="str">
        <f>IF(Overflow!K$8&gt;0,ROUND(K28/Overflow!K$8,6),"n/a")</f>
        <v>n/a</v>
      </c>
      <c r="M28" s="330">
        <f>IF(Overflow!G$8+Overflow!K$6+Overflow!K$8=0,0,ROUND((IF(H28="n/a",0,H28)+IF(J28="n/a",0,J28)+IF(L28="n/a",0,L28))/N$9,6))</f>
        <v>0</v>
      </c>
      <c r="O28" s="785">
        <f>LOOKUP(C28,Cities!A$3:A$343,Cities!AA$3:AA$343)</f>
        <v>0</v>
      </c>
      <c r="P28" s="345"/>
      <c r="Q28" s="345"/>
      <c r="R28" s="345"/>
    </row>
    <row r="29" spans="1:18" s="67" customFormat="1" ht="18" customHeight="1" x14ac:dyDescent="0.2">
      <c r="A29" s="325">
        <f t="shared" si="2"/>
        <v>153</v>
      </c>
      <c r="B29" s="878"/>
      <c r="C29" s="326">
        <v>1</v>
      </c>
      <c r="D29" s="327">
        <f>LOOKUP(C29,Cities!A$3:A$343,Cities!B$3:B$343)</f>
        <v>0</v>
      </c>
      <c r="E29" s="332">
        <v>0</v>
      </c>
      <c r="F29" s="332">
        <v>0</v>
      </c>
      <c r="G29" s="331">
        <f t="shared" si="0"/>
        <v>0</v>
      </c>
      <c r="H29" s="914" t="str">
        <f t="shared" si="1"/>
        <v>n/a</v>
      </c>
      <c r="I29" s="332">
        <v>0</v>
      </c>
      <c r="J29" s="914" t="str">
        <f>IF(Overflow!K$6&gt;0,ROUND(I29/Overflow!K$6,6),"n/a")</f>
        <v>n/a</v>
      </c>
      <c r="K29" s="332">
        <v>0</v>
      </c>
      <c r="L29" s="914" t="str">
        <f>IF(Overflow!K$8&gt;0,ROUND(K29/Overflow!K$8,6),"n/a")</f>
        <v>n/a</v>
      </c>
      <c r="M29" s="330">
        <f>IF(Overflow!G$8+Overflow!K$6+Overflow!K$8=0,0,ROUND((IF(H29="n/a",0,H29)+IF(J29="n/a",0,J29)+IF(L29="n/a",0,L29))/N$9,6))</f>
        <v>0</v>
      </c>
      <c r="O29" s="785">
        <f>LOOKUP(C29,Cities!A$3:A$343,Cities!AA$3:AA$343)</f>
        <v>0</v>
      </c>
      <c r="P29" s="345"/>
      <c r="Q29" s="345"/>
      <c r="R29" s="345"/>
    </row>
    <row r="30" spans="1:18" s="67" customFormat="1" ht="18" customHeight="1" x14ac:dyDescent="0.2">
      <c r="A30" s="325">
        <f t="shared" si="2"/>
        <v>154</v>
      </c>
      <c r="B30" s="878"/>
      <c r="C30" s="326">
        <v>1</v>
      </c>
      <c r="D30" s="327">
        <f>LOOKUP(C30,Cities!A$3:A$343,Cities!B$3:B$343)</f>
        <v>0</v>
      </c>
      <c r="E30" s="332">
        <v>0</v>
      </c>
      <c r="F30" s="332">
        <v>0</v>
      </c>
      <c r="G30" s="331">
        <f t="shared" si="0"/>
        <v>0</v>
      </c>
      <c r="H30" s="914" t="str">
        <f t="shared" si="1"/>
        <v>n/a</v>
      </c>
      <c r="I30" s="332">
        <v>0</v>
      </c>
      <c r="J30" s="914" t="str">
        <f>IF(Overflow!K$6&gt;0,ROUND(I30/Overflow!K$6,6),"n/a")</f>
        <v>n/a</v>
      </c>
      <c r="K30" s="332">
        <v>0</v>
      </c>
      <c r="L30" s="914" t="str">
        <f>IF(Overflow!K$8&gt;0,ROUND(K30/Overflow!K$8,6),"n/a")</f>
        <v>n/a</v>
      </c>
      <c r="M30" s="330">
        <f>IF(Overflow!G$8+Overflow!K$6+Overflow!K$8=0,0,ROUND((IF(H30="n/a",0,H30)+IF(J30="n/a",0,J30)+IF(L30="n/a",0,L30))/N$9,6))</f>
        <v>0</v>
      </c>
      <c r="O30" s="785">
        <f>LOOKUP(C30,Cities!A$3:A$343,Cities!AA$3:AA$343)</f>
        <v>0</v>
      </c>
      <c r="P30" s="345"/>
      <c r="Q30" s="345"/>
      <c r="R30" s="345"/>
    </row>
    <row r="31" spans="1:18" s="67" customFormat="1" ht="18" customHeight="1" x14ac:dyDescent="0.2">
      <c r="A31" s="325">
        <f t="shared" si="2"/>
        <v>155</v>
      </c>
      <c r="B31" s="878"/>
      <c r="C31" s="326">
        <v>1</v>
      </c>
      <c r="D31" s="327">
        <f>LOOKUP(C31,Cities!A$3:A$343,Cities!B$3:B$343)</f>
        <v>0</v>
      </c>
      <c r="E31" s="332">
        <v>0</v>
      </c>
      <c r="F31" s="332">
        <v>0</v>
      </c>
      <c r="G31" s="331">
        <f t="shared" si="0"/>
        <v>0</v>
      </c>
      <c r="H31" s="914" t="str">
        <f t="shared" si="1"/>
        <v>n/a</v>
      </c>
      <c r="I31" s="332">
        <v>0</v>
      </c>
      <c r="J31" s="914" t="str">
        <f>IF(Overflow!K$6&gt;0,ROUND(I31/Overflow!K$6,6),"n/a")</f>
        <v>n/a</v>
      </c>
      <c r="K31" s="332">
        <v>0</v>
      </c>
      <c r="L31" s="914" t="str">
        <f>IF(Overflow!K$8&gt;0,ROUND(K31/Overflow!K$8,6),"n/a")</f>
        <v>n/a</v>
      </c>
      <c r="M31" s="330">
        <f>IF(Overflow!G$8+Overflow!K$6+Overflow!K$8=0,0,ROUND((IF(H31="n/a",0,H31)+IF(J31="n/a",0,J31)+IF(L31="n/a",0,L31))/N$9,6))</f>
        <v>0</v>
      </c>
      <c r="O31" s="785">
        <f>LOOKUP(C31,Cities!A$3:A$343,Cities!AA$3:AA$343)</f>
        <v>0</v>
      </c>
      <c r="P31" s="345"/>
      <c r="Q31" s="345"/>
      <c r="R31" s="345"/>
    </row>
    <row r="32" spans="1:18" s="67" customFormat="1" ht="18" customHeight="1" x14ac:dyDescent="0.2">
      <c r="A32" s="325">
        <f t="shared" si="2"/>
        <v>156</v>
      </c>
      <c r="B32" s="878"/>
      <c r="C32" s="326">
        <v>1</v>
      </c>
      <c r="D32" s="327">
        <f>LOOKUP(C32,Cities!A$3:A$343,Cities!B$3:B$343)</f>
        <v>0</v>
      </c>
      <c r="E32" s="332">
        <v>0</v>
      </c>
      <c r="F32" s="332">
        <v>0</v>
      </c>
      <c r="G32" s="331">
        <f t="shared" si="0"/>
        <v>0</v>
      </c>
      <c r="H32" s="914" t="str">
        <f t="shared" si="1"/>
        <v>n/a</v>
      </c>
      <c r="I32" s="332">
        <v>0</v>
      </c>
      <c r="J32" s="914" t="str">
        <f>IF(Overflow!K$6&gt;0,ROUND(I32/Overflow!K$6,6),"n/a")</f>
        <v>n/a</v>
      </c>
      <c r="K32" s="332">
        <v>0</v>
      </c>
      <c r="L32" s="914" t="str">
        <f>IF(Overflow!K$8&gt;0,ROUND(K32/Overflow!K$8,6),"n/a")</f>
        <v>n/a</v>
      </c>
      <c r="M32" s="330">
        <f>IF(Overflow!G$8+Overflow!K$6+Overflow!K$8=0,0,ROUND((IF(H32="n/a",0,H32)+IF(J32="n/a",0,J32)+IF(L32="n/a",0,L32))/N$9,6))</f>
        <v>0</v>
      </c>
      <c r="O32" s="785">
        <f>LOOKUP(C32,Cities!A$3:A$343,Cities!AA$3:AA$343)</f>
        <v>0</v>
      </c>
      <c r="P32" s="345"/>
      <c r="Q32" s="345"/>
      <c r="R32" s="345"/>
    </row>
    <row r="33" spans="1:18" s="67" customFormat="1" ht="18" customHeight="1" x14ac:dyDescent="0.2">
      <c r="A33" s="325">
        <f t="shared" si="2"/>
        <v>157</v>
      </c>
      <c r="B33" s="878"/>
      <c r="C33" s="326">
        <v>1</v>
      </c>
      <c r="D33" s="327">
        <f>LOOKUP(C33,Cities!A$3:A$343,Cities!B$3:B$343)</f>
        <v>0</v>
      </c>
      <c r="E33" s="332">
        <v>0</v>
      </c>
      <c r="F33" s="332">
        <v>0</v>
      </c>
      <c r="G33" s="331">
        <f t="shared" si="0"/>
        <v>0</v>
      </c>
      <c r="H33" s="914" t="str">
        <f t="shared" si="1"/>
        <v>n/a</v>
      </c>
      <c r="I33" s="332">
        <v>0</v>
      </c>
      <c r="J33" s="914" t="str">
        <f>IF(Overflow!K$6&gt;0,ROUND(I33/Overflow!K$6,6),"n/a")</f>
        <v>n/a</v>
      </c>
      <c r="K33" s="332">
        <v>0</v>
      </c>
      <c r="L33" s="914" t="str">
        <f>IF(Overflow!K$8&gt;0,ROUND(K33/Overflow!K$8,6),"n/a")</f>
        <v>n/a</v>
      </c>
      <c r="M33" s="330">
        <f>IF(Overflow!G$8+Overflow!K$6+Overflow!K$8=0,0,ROUND((IF(H33="n/a",0,H33)+IF(J33="n/a",0,J33)+IF(L33="n/a",0,L33))/N$9,6))</f>
        <v>0</v>
      </c>
      <c r="O33" s="785">
        <f>LOOKUP(C33,Cities!A$3:A$343,Cities!AA$3:AA$343)</f>
        <v>0</v>
      </c>
      <c r="P33" s="345"/>
      <c r="Q33" s="345"/>
      <c r="R33" s="345"/>
    </row>
    <row r="34" spans="1:18" s="67" customFormat="1" ht="18" customHeight="1" x14ac:dyDescent="0.2">
      <c r="A34" s="325">
        <f t="shared" si="2"/>
        <v>158</v>
      </c>
      <c r="B34" s="878"/>
      <c r="C34" s="326">
        <v>1</v>
      </c>
      <c r="D34" s="327">
        <f>LOOKUP(C34,Cities!A$3:A$343,Cities!B$3:B$343)</f>
        <v>0</v>
      </c>
      <c r="E34" s="332">
        <v>0</v>
      </c>
      <c r="F34" s="332">
        <v>0</v>
      </c>
      <c r="G34" s="331">
        <f t="shared" si="0"/>
        <v>0</v>
      </c>
      <c r="H34" s="914" t="str">
        <f t="shared" si="1"/>
        <v>n/a</v>
      </c>
      <c r="I34" s="332">
        <v>0</v>
      </c>
      <c r="J34" s="914" t="str">
        <f>IF(Overflow!K$6&gt;0,ROUND(I34/Overflow!K$6,6),"n/a")</f>
        <v>n/a</v>
      </c>
      <c r="K34" s="332">
        <v>0</v>
      </c>
      <c r="L34" s="914" t="str">
        <f>IF(Overflow!K$8&gt;0,ROUND(K34/Overflow!K$8,6),"n/a")</f>
        <v>n/a</v>
      </c>
      <c r="M34" s="330">
        <f>IF(Overflow!G$8+Overflow!K$6+Overflow!K$8=0,0,ROUND((IF(H34="n/a",0,H34)+IF(J34="n/a",0,J34)+IF(L34="n/a",0,L34))/N$9,6))</f>
        <v>0</v>
      </c>
      <c r="O34" s="785">
        <f>LOOKUP(C34,Cities!A$3:A$343,Cities!AA$3:AA$343)</f>
        <v>0</v>
      </c>
      <c r="P34" s="345"/>
      <c r="Q34" s="345"/>
      <c r="R34" s="345"/>
    </row>
    <row r="35" spans="1:18" s="67" customFormat="1" ht="18" customHeight="1" x14ac:dyDescent="0.2">
      <c r="A35" s="325">
        <f t="shared" si="2"/>
        <v>159</v>
      </c>
      <c r="B35" s="878"/>
      <c r="C35" s="326">
        <v>1</v>
      </c>
      <c r="D35" s="327">
        <f>LOOKUP(C35,Cities!A$3:A$343,Cities!B$3:B$343)</f>
        <v>0</v>
      </c>
      <c r="E35" s="332">
        <v>0</v>
      </c>
      <c r="F35" s="332">
        <v>0</v>
      </c>
      <c r="G35" s="331">
        <f t="shared" si="0"/>
        <v>0</v>
      </c>
      <c r="H35" s="914" t="str">
        <f t="shared" si="1"/>
        <v>n/a</v>
      </c>
      <c r="I35" s="332">
        <v>0</v>
      </c>
      <c r="J35" s="914" t="str">
        <f>IF(Overflow!K$6&gt;0,ROUND(I35/Overflow!K$6,6),"n/a")</f>
        <v>n/a</v>
      </c>
      <c r="K35" s="332">
        <v>0</v>
      </c>
      <c r="L35" s="914" t="str">
        <f>IF(Overflow!K$8&gt;0,ROUND(K35/Overflow!K$8,6),"n/a")</f>
        <v>n/a</v>
      </c>
      <c r="M35" s="330">
        <f>IF(Overflow!G$8+Overflow!K$6+Overflow!K$8=0,0,ROUND((IF(H35="n/a",0,H35)+IF(J35="n/a",0,J35)+IF(L35="n/a",0,L35))/N$9,6))</f>
        <v>0</v>
      </c>
      <c r="O35" s="785">
        <f>LOOKUP(C35,Cities!A$3:A$343,Cities!AA$3:AA$343)</f>
        <v>0</v>
      </c>
      <c r="P35" s="345"/>
      <c r="Q35" s="345"/>
      <c r="R35" s="345"/>
    </row>
    <row r="36" spans="1:18" s="67" customFormat="1" ht="18" customHeight="1" x14ac:dyDescent="0.2">
      <c r="A36" s="325">
        <f t="shared" si="2"/>
        <v>160</v>
      </c>
      <c r="B36" s="878"/>
      <c r="C36" s="326">
        <v>1</v>
      </c>
      <c r="D36" s="327">
        <f>LOOKUP(C36,Cities!A$3:A$343,Cities!B$3:B$343)</f>
        <v>0</v>
      </c>
      <c r="E36" s="332">
        <v>0</v>
      </c>
      <c r="F36" s="332">
        <v>0</v>
      </c>
      <c r="G36" s="331">
        <f t="shared" si="0"/>
        <v>0</v>
      </c>
      <c r="H36" s="914" t="str">
        <f t="shared" si="1"/>
        <v>n/a</v>
      </c>
      <c r="I36" s="332">
        <v>0</v>
      </c>
      <c r="J36" s="914" t="str">
        <f>IF(Overflow!K$6&gt;0,ROUND(I36/Overflow!K$6,6),"n/a")</f>
        <v>n/a</v>
      </c>
      <c r="K36" s="332">
        <v>0</v>
      </c>
      <c r="L36" s="914" t="str">
        <f>IF(Overflow!K$8&gt;0,ROUND(K36/Overflow!K$8,6),"n/a")</f>
        <v>n/a</v>
      </c>
      <c r="M36" s="330">
        <f>IF(Overflow!G$8+Overflow!K$6+Overflow!K$8=0,0,ROUND((IF(H36="n/a",0,H36)+IF(J36="n/a",0,J36)+IF(L36="n/a",0,L36))/N$9,6))</f>
        <v>0</v>
      </c>
      <c r="O36" s="785">
        <f>LOOKUP(C36,Cities!A$3:A$343,Cities!AA$3:AA$343)</f>
        <v>0</v>
      </c>
      <c r="P36" s="345"/>
      <c r="Q36" s="345"/>
      <c r="R36" s="345"/>
    </row>
    <row r="37" spans="1:18" s="67" customFormat="1" ht="18" customHeight="1" x14ac:dyDescent="0.2">
      <c r="A37" s="325">
        <f t="shared" si="2"/>
        <v>161</v>
      </c>
      <c r="B37" s="878"/>
      <c r="C37" s="326">
        <v>1</v>
      </c>
      <c r="D37" s="327">
        <f>LOOKUP(C37,Cities!A$3:A$343,Cities!B$3:B$343)</f>
        <v>0</v>
      </c>
      <c r="E37" s="332">
        <v>0</v>
      </c>
      <c r="F37" s="332">
        <v>0</v>
      </c>
      <c r="G37" s="331">
        <f t="shared" si="0"/>
        <v>0</v>
      </c>
      <c r="H37" s="914" t="str">
        <f t="shared" si="1"/>
        <v>n/a</v>
      </c>
      <c r="I37" s="332">
        <v>0</v>
      </c>
      <c r="J37" s="914" t="str">
        <f>IF(Overflow!K$6&gt;0,ROUND(I37/Overflow!K$6,6),"n/a")</f>
        <v>n/a</v>
      </c>
      <c r="K37" s="332">
        <v>0</v>
      </c>
      <c r="L37" s="914" t="str">
        <f>IF(Overflow!K$8&gt;0,ROUND(K37/Overflow!K$8,6),"n/a")</f>
        <v>n/a</v>
      </c>
      <c r="M37" s="330">
        <f>IF(Overflow!G$8+Overflow!K$6+Overflow!K$8=0,0,ROUND((IF(H37="n/a",0,H37)+IF(J37="n/a",0,J37)+IF(L37="n/a",0,L37))/N$9,6))</f>
        <v>0</v>
      </c>
      <c r="O37" s="785">
        <f>LOOKUP(C37,Cities!A$3:A$343,Cities!AA$3:AA$343)</f>
        <v>0</v>
      </c>
      <c r="P37" s="345"/>
      <c r="Q37" s="345"/>
      <c r="R37" s="345"/>
    </row>
    <row r="38" spans="1:18" s="67" customFormat="1" ht="18" customHeight="1" x14ac:dyDescent="0.2">
      <c r="A38" s="325">
        <f t="shared" si="2"/>
        <v>162</v>
      </c>
      <c r="B38" s="878"/>
      <c r="C38" s="326">
        <v>1</v>
      </c>
      <c r="D38" s="327">
        <f>LOOKUP(C38,Cities!A$3:A$343,Cities!B$3:B$343)</f>
        <v>0</v>
      </c>
      <c r="E38" s="332">
        <v>0</v>
      </c>
      <c r="F38" s="332">
        <v>0</v>
      </c>
      <c r="G38" s="331">
        <f t="shared" si="0"/>
        <v>0</v>
      </c>
      <c r="H38" s="914" t="str">
        <f t="shared" si="1"/>
        <v>n/a</v>
      </c>
      <c r="I38" s="332">
        <v>0</v>
      </c>
      <c r="J38" s="914" t="str">
        <f>IF(Overflow!K$6&gt;0,ROUND(I38/Overflow!K$6,6),"n/a")</f>
        <v>n/a</v>
      </c>
      <c r="K38" s="332">
        <v>0</v>
      </c>
      <c r="L38" s="914" t="str">
        <f>IF(Overflow!K$8&gt;0,ROUND(K38/Overflow!K$8,6),"n/a")</f>
        <v>n/a</v>
      </c>
      <c r="M38" s="330">
        <f>IF(Overflow!G$8+Overflow!K$6+Overflow!K$8=0,0,ROUND((IF(H38="n/a",0,H38)+IF(J38="n/a",0,J38)+IF(L38="n/a",0,L38))/N$9,6))</f>
        <v>0</v>
      </c>
      <c r="O38" s="785">
        <f>LOOKUP(C38,Cities!A$3:A$343,Cities!AA$3:AA$343)</f>
        <v>0</v>
      </c>
      <c r="P38" s="345"/>
      <c r="Q38" s="345"/>
      <c r="R38" s="345"/>
    </row>
    <row r="39" spans="1:18" s="67" customFormat="1" ht="18" customHeight="1" x14ac:dyDescent="0.2">
      <c r="A39" s="325">
        <f t="shared" si="2"/>
        <v>163</v>
      </c>
      <c r="B39" s="878"/>
      <c r="C39" s="326">
        <v>1</v>
      </c>
      <c r="D39" s="327">
        <f>LOOKUP(C39,Cities!A$3:A$343,Cities!B$3:B$343)</f>
        <v>0</v>
      </c>
      <c r="E39" s="332">
        <v>0</v>
      </c>
      <c r="F39" s="332">
        <v>0</v>
      </c>
      <c r="G39" s="331">
        <f t="shared" si="0"/>
        <v>0</v>
      </c>
      <c r="H39" s="914" t="str">
        <f t="shared" si="1"/>
        <v>n/a</v>
      </c>
      <c r="I39" s="332">
        <v>0</v>
      </c>
      <c r="J39" s="914" t="str">
        <f>IF(Overflow!K$6&gt;0,ROUND(I39/Overflow!K$6,6),"n/a")</f>
        <v>n/a</v>
      </c>
      <c r="K39" s="332">
        <v>0</v>
      </c>
      <c r="L39" s="914" t="str">
        <f>IF(Overflow!K$8&gt;0,ROUND(K39/Overflow!K$8,6),"n/a")</f>
        <v>n/a</v>
      </c>
      <c r="M39" s="330">
        <f>IF(Overflow!G$8+Overflow!K$6+Overflow!K$8=0,0,ROUND((IF(H39="n/a",0,H39)+IF(J39="n/a",0,J39)+IF(L39="n/a",0,L39))/N$9,6))</f>
        <v>0</v>
      </c>
      <c r="O39" s="785">
        <f>LOOKUP(C39,Cities!A$3:A$343,Cities!AA$3:AA$343)</f>
        <v>0</v>
      </c>
      <c r="P39" s="345"/>
      <c r="Q39" s="345"/>
      <c r="R39" s="345"/>
    </row>
    <row r="40" spans="1:18" s="67" customFormat="1" ht="18" customHeight="1" x14ac:dyDescent="0.2">
      <c r="A40" s="325">
        <f t="shared" si="2"/>
        <v>164</v>
      </c>
      <c r="B40" s="878"/>
      <c r="C40" s="326">
        <v>1</v>
      </c>
      <c r="D40" s="327">
        <f>LOOKUP(C40,Cities!A$3:A$343,Cities!B$3:B$343)</f>
        <v>0</v>
      </c>
      <c r="E40" s="332">
        <v>0</v>
      </c>
      <c r="F40" s="332">
        <v>0</v>
      </c>
      <c r="G40" s="331">
        <f t="shared" si="0"/>
        <v>0</v>
      </c>
      <c r="H40" s="914" t="str">
        <f t="shared" si="1"/>
        <v>n/a</v>
      </c>
      <c r="I40" s="332">
        <v>0</v>
      </c>
      <c r="J40" s="914" t="str">
        <f>IF(Overflow!K$6&gt;0,ROUND(I40/Overflow!K$6,6),"n/a")</f>
        <v>n/a</v>
      </c>
      <c r="K40" s="332">
        <v>0</v>
      </c>
      <c r="L40" s="914" t="str">
        <f>IF(Overflow!K$8&gt;0,ROUND(K40/Overflow!K$8,6),"n/a")</f>
        <v>n/a</v>
      </c>
      <c r="M40" s="330">
        <f>IF(Overflow!G$8+Overflow!K$6+Overflow!K$8=0,0,ROUND((IF(H40="n/a",0,H40)+IF(J40="n/a",0,J40)+IF(L40="n/a",0,L40))/N$9,6))</f>
        <v>0</v>
      </c>
      <c r="O40" s="785">
        <f>LOOKUP(C40,Cities!A$3:A$343,Cities!AA$3:AA$343)</f>
        <v>0</v>
      </c>
      <c r="P40" s="345"/>
      <c r="Q40" s="345"/>
      <c r="R40" s="345"/>
    </row>
    <row r="41" spans="1:18" s="67" customFormat="1" ht="18" customHeight="1" x14ac:dyDescent="0.2">
      <c r="A41" s="325">
        <f t="shared" si="2"/>
        <v>165</v>
      </c>
      <c r="B41" s="878"/>
      <c r="C41" s="326">
        <v>1</v>
      </c>
      <c r="D41" s="327">
        <f>LOOKUP(C41,Cities!A$3:A$343,Cities!B$3:B$343)</f>
        <v>0</v>
      </c>
      <c r="E41" s="332">
        <v>0</v>
      </c>
      <c r="F41" s="332">
        <v>0</v>
      </c>
      <c r="G41" s="331">
        <f t="shared" si="0"/>
        <v>0</v>
      </c>
      <c r="H41" s="914" t="str">
        <f t="shared" si="1"/>
        <v>n/a</v>
      </c>
      <c r="I41" s="332">
        <v>0</v>
      </c>
      <c r="J41" s="914" t="str">
        <f>IF(Overflow!K$6&gt;0,ROUND(I41/Overflow!K$6,6),"n/a")</f>
        <v>n/a</v>
      </c>
      <c r="K41" s="332">
        <v>0</v>
      </c>
      <c r="L41" s="914" t="str">
        <f>IF(Overflow!K$8&gt;0,ROUND(K41/Overflow!K$8,6),"n/a")</f>
        <v>n/a</v>
      </c>
      <c r="M41" s="330">
        <f>IF(Overflow!G$8+Overflow!K$6+Overflow!K$8=0,0,ROUND((IF(H41="n/a",0,H41)+IF(J41="n/a",0,J41)+IF(L41="n/a",0,L41))/N$9,6))</f>
        <v>0</v>
      </c>
      <c r="O41" s="785">
        <f>LOOKUP(C41,Cities!A$3:A$343,Cities!AA$3:AA$343)</f>
        <v>0</v>
      </c>
      <c r="P41" s="345"/>
      <c r="Q41" s="345"/>
      <c r="R41" s="345"/>
    </row>
    <row r="42" spans="1:18" s="67" customFormat="1" ht="18" customHeight="1" x14ac:dyDescent="0.2">
      <c r="A42" s="325">
        <f t="shared" si="2"/>
        <v>166</v>
      </c>
      <c r="B42" s="878"/>
      <c r="C42" s="326">
        <v>1</v>
      </c>
      <c r="D42" s="327">
        <f>LOOKUP(C42,Cities!A$3:A$343,Cities!B$3:B$343)</f>
        <v>0</v>
      </c>
      <c r="E42" s="332">
        <v>0</v>
      </c>
      <c r="F42" s="332">
        <v>0</v>
      </c>
      <c r="G42" s="331">
        <f t="shared" si="0"/>
        <v>0</v>
      </c>
      <c r="H42" s="914" t="str">
        <f t="shared" si="1"/>
        <v>n/a</v>
      </c>
      <c r="I42" s="332">
        <v>0</v>
      </c>
      <c r="J42" s="914" t="str">
        <f>IF(Overflow!K$6&gt;0,ROUND(I42/Overflow!K$6,6),"n/a")</f>
        <v>n/a</v>
      </c>
      <c r="K42" s="332">
        <v>0</v>
      </c>
      <c r="L42" s="914" t="str">
        <f>IF(Overflow!K$8&gt;0,ROUND(K42/Overflow!K$8,6),"n/a")</f>
        <v>n/a</v>
      </c>
      <c r="M42" s="330">
        <f>IF(Overflow!G$8+Overflow!K$6+Overflow!K$8=0,0,ROUND((IF(H42="n/a",0,H42)+IF(J42="n/a",0,J42)+IF(L42="n/a",0,L42))/N$9,6))</f>
        <v>0</v>
      </c>
      <c r="O42" s="785">
        <f>LOOKUP(C42,Cities!A$3:A$343,Cities!AA$3:AA$343)</f>
        <v>0</v>
      </c>
      <c r="P42" s="345"/>
      <c r="Q42" s="345"/>
      <c r="R42" s="345"/>
    </row>
    <row r="43" spans="1:18" s="67" customFormat="1" ht="18" customHeight="1" x14ac:dyDescent="0.2">
      <c r="A43" s="325">
        <f t="shared" si="2"/>
        <v>167</v>
      </c>
      <c r="B43" s="878"/>
      <c r="C43" s="326">
        <v>1</v>
      </c>
      <c r="D43" s="327">
        <f>LOOKUP(C43,Cities!A$3:A$343,Cities!B$3:B$343)</f>
        <v>0</v>
      </c>
      <c r="E43" s="332">
        <v>0</v>
      </c>
      <c r="F43" s="332">
        <v>0</v>
      </c>
      <c r="G43" s="331">
        <f t="shared" si="0"/>
        <v>0</v>
      </c>
      <c r="H43" s="914" t="str">
        <f t="shared" si="1"/>
        <v>n/a</v>
      </c>
      <c r="I43" s="332">
        <v>0</v>
      </c>
      <c r="J43" s="914" t="str">
        <f>IF(Overflow!K$6&gt;0,ROUND(I43/Overflow!K$6,6),"n/a")</f>
        <v>n/a</v>
      </c>
      <c r="K43" s="332">
        <v>0</v>
      </c>
      <c r="L43" s="914" t="str">
        <f>IF(Overflow!K$8&gt;0,ROUND(K43/Overflow!K$8,6),"n/a")</f>
        <v>n/a</v>
      </c>
      <c r="M43" s="330">
        <f>IF(Overflow!G$8+Overflow!K$6+Overflow!K$8=0,0,ROUND((IF(H43="n/a",0,H43)+IF(J43="n/a",0,J43)+IF(L43="n/a",0,L43))/N$9,6))</f>
        <v>0</v>
      </c>
      <c r="O43" s="785">
        <f>LOOKUP(C43,Cities!A$3:A$343,Cities!AA$3:AA$343)</f>
        <v>0</v>
      </c>
      <c r="P43" s="345"/>
      <c r="Q43" s="345"/>
      <c r="R43" s="345"/>
    </row>
    <row r="44" spans="1:18" s="67" customFormat="1" ht="18" customHeight="1" x14ac:dyDescent="0.2">
      <c r="A44" s="325">
        <f t="shared" si="2"/>
        <v>168</v>
      </c>
      <c r="B44" s="878"/>
      <c r="C44" s="326">
        <v>1</v>
      </c>
      <c r="D44" s="327">
        <f>LOOKUP(C44,Cities!A$3:A$343,Cities!B$3:B$343)</f>
        <v>0</v>
      </c>
      <c r="E44" s="332">
        <v>0</v>
      </c>
      <c r="F44" s="332">
        <v>0</v>
      </c>
      <c r="G44" s="331">
        <f t="shared" si="0"/>
        <v>0</v>
      </c>
      <c r="H44" s="914" t="str">
        <f t="shared" si="1"/>
        <v>n/a</v>
      </c>
      <c r="I44" s="332">
        <v>0</v>
      </c>
      <c r="J44" s="914" t="str">
        <f>IF(Overflow!K$6&gt;0,ROUND(I44/Overflow!K$6,6),"n/a")</f>
        <v>n/a</v>
      </c>
      <c r="K44" s="332">
        <v>0</v>
      </c>
      <c r="L44" s="914" t="str">
        <f>IF(Overflow!K$8&gt;0,ROUND(K44/Overflow!K$8,6),"n/a")</f>
        <v>n/a</v>
      </c>
      <c r="M44" s="330">
        <f>IF(Overflow!G$8+Overflow!K$6+Overflow!K$8=0,0,ROUND((IF(H44="n/a",0,H44)+IF(J44="n/a",0,J44)+IF(L44="n/a",0,L44))/N$9,6))</f>
        <v>0</v>
      </c>
      <c r="O44" s="785">
        <f>LOOKUP(C44,Cities!A$3:A$343,Cities!AA$3:AA$343)</f>
        <v>0</v>
      </c>
      <c r="P44" s="345"/>
      <c r="Q44" s="345"/>
      <c r="R44" s="345"/>
    </row>
    <row r="45" spans="1:18" s="67" customFormat="1" ht="18" customHeight="1" x14ac:dyDescent="0.2">
      <c r="A45" s="325">
        <f t="shared" si="2"/>
        <v>169</v>
      </c>
      <c r="B45" s="878"/>
      <c r="C45" s="326">
        <v>1</v>
      </c>
      <c r="D45" s="327">
        <f>LOOKUP(C45,Cities!A$3:A$343,Cities!B$3:B$343)</f>
        <v>0</v>
      </c>
      <c r="E45" s="332">
        <v>0</v>
      </c>
      <c r="F45" s="332">
        <v>0</v>
      </c>
      <c r="G45" s="331">
        <f t="shared" si="0"/>
        <v>0</v>
      </c>
      <c r="H45" s="914" t="str">
        <f t="shared" si="1"/>
        <v>n/a</v>
      </c>
      <c r="I45" s="332">
        <v>0</v>
      </c>
      <c r="J45" s="914" t="str">
        <f>IF(Overflow!K$6&gt;0,ROUND(I45/Overflow!K$6,6),"n/a")</f>
        <v>n/a</v>
      </c>
      <c r="K45" s="332">
        <v>0</v>
      </c>
      <c r="L45" s="914" t="str">
        <f>IF(Overflow!K$8&gt;0,ROUND(K45/Overflow!K$8,6),"n/a")</f>
        <v>n/a</v>
      </c>
      <c r="M45" s="330">
        <f>IF(Overflow!G$8+Overflow!K$6+Overflow!K$8=0,0,ROUND((IF(H45="n/a",0,H45)+IF(J45="n/a",0,J45)+IF(L45="n/a",0,L45))/N$9,6))</f>
        <v>0</v>
      </c>
      <c r="O45" s="785">
        <f>LOOKUP(C45,Cities!A$3:A$343,Cities!AA$3:AA$343)</f>
        <v>0</v>
      </c>
      <c r="P45" s="345"/>
      <c r="Q45" s="345"/>
      <c r="R45" s="345"/>
    </row>
    <row r="46" spans="1:18" s="67" customFormat="1" ht="18" customHeight="1" x14ac:dyDescent="0.2">
      <c r="A46" s="325">
        <f t="shared" si="2"/>
        <v>170</v>
      </c>
      <c r="B46" s="878"/>
      <c r="C46" s="326">
        <v>1</v>
      </c>
      <c r="D46" s="327">
        <f>LOOKUP(C46,Cities!A$3:A$343,Cities!B$3:B$343)</f>
        <v>0</v>
      </c>
      <c r="E46" s="332">
        <v>0</v>
      </c>
      <c r="F46" s="332">
        <v>0</v>
      </c>
      <c r="G46" s="331">
        <f t="shared" si="0"/>
        <v>0</v>
      </c>
      <c r="H46" s="914" t="str">
        <f t="shared" si="1"/>
        <v>n/a</v>
      </c>
      <c r="I46" s="332">
        <v>0</v>
      </c>
      <c r="J46" s="914" t="str">
        <f>IF(Overflow!K$6&gt;0,ROUND(I46/Overflow!K$6,6),"n/a")</f>
        <v>n/a</v>
      </c>
      <c r="K46" s="332">
        <v>0</v>
      </c>
      <c r="L46" s="914" t="str">
        <f>IF(Overflow!K$8&gt;0,ROUND(K46/Overflow!K$8,6),"n/a")</f>
        <v>n/a</v>
      </c>
      <c r="M46" s="330">
        <f>IF(Overflow!G$8+Overflow!K$6+Overflow!K$8=0,0,ROUND((IF(H46="n/a",0,H46)+IF(J46="n/a",0,J46)+IF(L46="n/a",0,L46))/N$9,6))</f>
        <v>0</v>
      </c>
      <c r="O46" s="785">
        <f>LOOKUP(C46,Cities!A$3:A$343,Cities!AA$3:AA$343)</f>
        <v>0</v>
      </c>
      <c r="P46" s="345"/>
      <c r="Q46" s="345"/>
      <c r="R46" s="345"/>
    </row>
    <row r="47" spans="1:18" s="67" customFormat="1" ht="18" customHeight="1" x14ac:dyDescent="0.2">
      <c r="A47" s="325">
        <f t="shared" si="2"/>
        <v>171</v>
      </c>
      <c r="B47" s="878"/>
      <c r="C47" s="326">
        <v>1</v>
      </c>
      <c r="D47" s="327">
        <f>LOOKUP(C47,Cities!A$3:A$343,Cities!B$3:B$343)</f>
        <v>0</v>
      </c>
      <c r="E47" s="332">
        <v>0</v>
      </c>
      <c r="F47" s="332">
        <v>0</v>
      </c>
      <c r="G47" s="331">
        <f t="shared" si="0"/>
        <v>0</v>
      </c>
      <c r="H47" s="914" t="str">
        <f t="shared" si="1"/>
        <v>n/a</v>
      </c>
      <c r="I47" s="332">
        <v>0</v>
      </c>
      <c r="J47" s="914" t="str">
        <f>IF(Overflow!K$6&gt;0,ROUND(I47/Overflow!K$6,6),"n/a")</f>
        <v>n/a</v>
      </c>
      <c r="K47" s="332">
        <v>0</v>
      </c>
      <c r="L47" s="914" t="str">
        <f>IF(Overflow!K$8&gt;0,ROUND(K47/Overflow!K$8,6),"n/a")</f>
        <v>n/a</v>
      </c>
      <c r="M47" s="330">
        <f>IF(Overflow!G$8+Overflow!K$6+Overflow!K$8=0,0,ROUND((IF(H47="n/a",0,H47)+IF(J47="n/a",0,J47)+IF(L47="n/a",0,L47))/N$9,6))</f>
        <v>0</v>
      </c>
      <c r="O47" s="785">
        <f>LOOKUP(C47,Cities!A$3:A$343,Cities!AA$3:AA$343)</f>
        <v>0</v>
      </c>
      <c r="P47" s="345"/>
      <c r="Q47" s="345"/>
      <c r="R47" s="345"/>
    </row>
    <row r="48" spans="1:18" s="67" customFormat="1" ht="18" customHeight="1" x14ac:dyDescent="0.2">
      <c r="A48" s="325">
        <f t="shared" si="2"/>
        <v>172</v>
      </c>
      <c r="B48" s="878"/>
      <c r="C48" s="326">
        <v>1</v>
      </c>
      <c r="D48" s="327">
        <f>LOOKUP(C48,Cities!A$3:A$343,Cities!B$3:B$343)</f>
        <v>0</v>
      </c>
      <c r="E48" s="332">
        <v>0</v>
      </c>
      <c r="F48" s="332">
        <v>0</v>
      </c>
      <c r="G48" s="331">
        <f t="shared" si="0"/>
        <v>0</v>
      </c>
      <c r="H48" s="914" t="str">
        <f t="shared" si="1"/>
        <v>n/a</v>
      </c>
      <c r="I48" s="332">
        <v>0</v>
      </c>
      <c r="J48" s="914" t="str">
        <f>IF(Overflow!K$6&gt;0,ROUND(I48/Overflow!K$6,6),"n/a")</f>
        <v>n/a</v>
      </c>
      <c r="K48" s="332">
        <v>0</v>
      </c>
      <c r="L48" s="914" t="str">
        <f>IF(Overflow!K$8&gt;0,ROUND(K48/Overflow!K$8,6),"n/a")</f>
        <v>n/a</v>
      </c>
      <c r="M48" s="330">
        <f>IF(Overflow!G$8+Overflow!K$6+Overflow!K$8=0,0,ROUND((IF(H48="n/a",0,H48)+IF(J48="n/a",0,J48)+IF(L48="n/a",0,L48))/N$9,6))</f>
        <v>0</v>
      </c>
      <c r="O48" s="785">
        <f>LOOKUP(C48,Cities!A$3:A$343,Cities!AA$3:AA$343)</f>
        <v>0</v>
      </c>
      <c r="P48" s="345"/>
      <c r="Q48" s="345"/>
      <c r="R48" s="345"/>
    </row>
    <row r="49" spans="1:18" s="67" customFormat="1" ht="18" customHeight="1" x14ac:dyDescent="0.2">
      <c r="A49" s="325">
        <f t="shared" si="2"/>
        <v>173</v>
      </c>
      <c r="B49" s="878"/>
      <c r="C49" s="326">
        <v>1</v>
      </c>
      <c r="D49" s="327">
        <f>LOOKUP(C49,Cities!A$3:A$343,Cities!B$3:B$343)</f>
        <v>0</v>
      </c>
      <c r="E49" s="332">
        <v>0</v>
      </c>
      <c r="F49" s="332">
        <v>0</v>
      </c>
      <c r="G49" s="331">
        <f t="shared" si="0"/>
        <v>0</v>
      </c>
      <c r="H49" s="914" t="str">
        <f t="shared" si="1"/>
        <v>n/a</v>
      </c>
      <c r="I49" s="332">
        <v>0</v>
      </c>
      <c r="J49" s="914" t="str">
        <f>IF(Overflow!K$6&gt;0,ROUND(I49/Overflow!K$6,6),"n/a")</f>
        <v>n/a</v>
      </c>
      <c r="K49" s="332">
        <v>0</v>
      </c>
      <c r="L49" s="914" t="str">
        <f>IF(Overflow!K$8&gt;0,ROUND(K49/Overflow!K$8,6),"n/a")</f>
        <v>n/a</v>
      </c>
      <c r="M49" s="330">
        <f>IF(Overflow!G$8+Overflow!K$6+Overflow!K$8=0,0,ROUND((IF(H49="n/a",0,H49)+IF(J49="n/a",0,J49)+IF(L49="n/a",0,L49))/N$9,6))</f>
        <v>0</v>
      </c>
      <c r="O49" s="785">
        <f>LOOKUP(C49,Cities!A$3:A$343,Cities!AA$3:AA$343)</f>
        <v>0</v>
      </c>
      <c r="P49" s="345"/>
      <c r="Q49" s="345"/>
      <c r="R49" s="345"/>
    </row>
    <row r="50" spans="1:18" s="67" customFormat="1" ht="18" customHeight="1" x14ac:dyDescent="0.2">
      <c r="A50" s="325">
        <f t="shared" si="2"/>
        <v>174</v>
      </c>
      <c r="B50" s="878"/>
      <c r="C50" s="326">
        <v>1</v>
      </c>
      <c r="D50" s="327">
        <f>LOOKUP(C50,Cities!A$3:A$343,Cities!B$3:B$343)</f>
        <v>0</v>
      </c>
      <c r="E50" s="332">
        <v>0</v>
      </c>
      <c r="F50" s="332">
        <v>0</v>
      </c>
      <c r="G50" s="331">
        <f t="shared" si="0"/>
        <v>0</v>
      </c>
      <c r="H50" s="914" t="str">
        <f t="shared" si="1"/>
        <v>n/a</v>
      </c>
      <c r="I50" s="332">
        <v>0</v>
      </c>
      <c r="J50" s="914" t="str">
        <f>IF(Overflow!K$6&gt;0,ROUND(I50/Overflow!K$6,6),"n/a")</f>
        <v>n/a</v>
      </c>
      <c r="K50" s="332">
        <v>0</v>
      </c>
      <c r="L50" s="914" t="str">
        <f>IF(Overflow!K$8&gt;0,ROUND(K50/Overflow!K$8,6),"n/a")</f>
        <v>n/a</v>
      </c>
      <c r="M50" s="330">
        <f>IF(Overflow!G$8+Overflow!K$6+Overflow!K$8=0,0,ROUND((IF(H50="n/a",0,H50)+IF(J50="n/a",0,J50)+IF(L50="n/a",0,L50))/N$9,6))</f>
        <v>0</v>
      </c>
      <c r="O50" s="785">
        <f>LOOKUP(C50,Cities!A$3:A$343,Cities!AA$3:AA$343)</f>
        <v>0</v>
      </c>
      <c r="P50" s="345"/>
      <c r="Q50" s="345"/>
      <c r="R50" s="345"/>
    </row>
    <row r="51" spans="1:18" s="67" customFormat="1" ht="18" customHeight="1" x14ac:dyDescent="0.2">
      <c r="A51" s="325">
        <f t="shared" si="2"/>
        <v>175</v>
      </c>
      <c r="B51" s="878"/>
      <c r="C51" s="326">
        <v>1</v>
      </c>
      <c r="D51" s="327">
        <f>LOOKUP(C51,Cities!A$3:A$343,Cities!B$3:B$343)</f>
        <v>0</v>
      </c>
      <c r="E51" s="332">
        <v>0</v>
      </c>
      <c r="F51" s="332">
        <v>0</v>
      </c>
      <c r="G51" s="331">
        <f t="shared" si="0"/>
        <v>0</v>
      </c>
      <c r="H51" s="914" t="str">
        <f t="shared" si="1"/>
        <v>n/a</v>
      </c>
      <c r="I51" s="332">
        <v>0</v>
      </c>
      <c r="J51" s="914" t="str">
        <f>IF(Overflow!K$6&gt;0,ROUND(I51/Overflow!K$6,6),"n/a")</f>
        <v>n/a</v>
      </c>
      <c r="K51" s="332">
        <v>0</v>
      </c>
      <c r="L51" s="914" t="str">
        <f>IF(Overflow!K$8&gt;0,ROUND(K51/Overflow!K$8,6),"n/a")</f>
        <v>n/a</v>
      </c>
      <c r="M51" s="330">
        <f>IF(Overflow!G$8+Overflow!K$6+Overflow!K$8=0,0,ROUND((IF(H51="n/a",0,H51)+IF(J51="n/a",0,J51)+IF(L51="n/a",0,L51))/N$9,6))</f>
        <v>0</v>
      </c>
      <c r="O51" s="785">
        <f>LOOKUP(C51,Cities!A$3:A$343,Cities!AA$3:AA$343)</f>
        <v>0</v>
      </c>
      <c r="P51" s="345"/>
      <c r="Q51" s="345"/>
      <c r="R51" s="345"/>
    </row>
    <row r="52" spans="1:18" s="67" customFormat="1" ht="18" customHeight="1" x14ac:dyDescent="0.2">
      <c r="A52" s="325">
        <f t="shared" si="2"/>
        <v>176</v>
      </c>
      <c r="B52" s="878"/>
      <c r="C52" s="326">
        <v>1</v>
      </c>
      <c r="D52" s="327">
        <f>LOOKUP(C52,Cities!A$3:A$343,Cities!B$3:B$343)</f>
        <v>0</v>
      </c>
      <c r="E52" s="332">
        <v>0</v>
      </c>
      <c r="F52" s="332">
        <v>0</v>
      </c>
      <c r="G52" s="331">
        <f t="shared" si="0"/>
        <v>0</v>
      </c>
      <c r="H52" s="914" t="str">
        <f t="shared" si="1"/>
        <v>n/a</v>
      </c>
      <c r="I52" s="332">
        <v>0</v>
      </c>
      <c r="J52" s="914" t="str">
        <f>IF(Overflow!K$6&gt;0,ROUND(I52/Overflow!K$6,6),"n/a")</f>
        <v>n/a</v>
      </c>
      <c r="K52" s="332">
        <v>0</v>
      </c>
      <c r="L52" s="914" t="str">
        <f>IF(Overflow!K$8&gt;0,ROUND(K52/Overflow!K$8,6),"n/a")</f>
        <v>n/a</v>
      </c>
      <c r="M52" s="330">
        <f>IF(Overflow!G$8+Overflow!K$6+Overflow!K$8=0,0,ROUND((IF(H52="n/a",0,H52)+IF(J52="n/a",0,J52)+IF(L52="n/a",0,L52))/N$9,6))</f>
        <v>0</v>
      </c>
      <c r="O52" s="785">
        <f>LOOKUP(C52,Cities!A$3:A$343,Cities!AA$3:AA$343)</f>
        <v>0</v>
      </c>
      <c r="P52" s="345"/>
      <c r="Q52" s="345"/>
      <c r="R52" s="345"/>
    </row>
    <row r="53" spans="1:18" s="67" customFormat="1" ht="18" customHeight="1" x14ac:dyDescent="0.2">
      <c r="A53" s="325">
        <f t="shared" si="2"/>
        <v>177</v>
      </c>
      <c r="B53" s="878"/>
      <c r="C53" s="326">
        <v>1</v>
      </c>
      <c r="D53" s="327">
        <f>LOOKUP(C53,Cities!A$3:A$343,Cities!B$3:B$343)</f>
        <v>0</v>
      </c>
      <c r="E53" s="332">
        <v>0</v>
      </c>
      <c r="F53" s="332">
        <v>0</v>
      </c>
      <c r="G53" s="331">
        <f t="shared" si="0"/>
        <v>0</v>
      </c>
      <c r="H53" s="914" t="str">
        <f t="shared" si="1"/>
        <v>n/a</v>
      </c>
      <c r="I53" s="332">
        <v>0</v>
      </c>
      <c r="J53" s="914" t="str">
        <f>IF(Overflow!K$6&gt;0,ROUND(I53/Overflow!K$6,6),"n/a")</f>
        <v>n/a</v>
      </c>
      <c r="K53" s="332">
        <v>0</v>
      </c>
      <c r="L53" s="914" t="str">
        <f>IF(Overflow!K$8&gt;0,ROUND(K53/Overflow!K$8,6),"n/a")</f>
        <v>n/a</v>
      </c>
      <c r="M53" s="330">
        <f>IF(Overflow!G$8+Overflow!K$6+Overflow!K$8=0,0,ROUND((IF(H53="n/a",0,H53)+IF(J53="n/a",0,J53)+IF(L53="n/a",0,L53))/N$9,6))</f>
        <v>0</v>
      </c>
      <c r="O53" s="785">
        <f>LOOKUP(C53,Cities!A$3:A$343,Cities!AA$3:AA$343)</f>
        <v>0</v>
      </c>
      <c r="P53" s="345"/>
      <c r="Q53" s="345"/>
      <c r="R53" s="345"/>
    </row>
    <row r="54" spans="1:18" s="67" customFormat="1" ht="18" customHeight="1" x14ac:dyDescent="0.2">
      <c r="A54" s="325">
        <f t="shared" si="2"/>
        <v>178</v>
      </c>
      <c r="B54" s="878"/>
      <c r="C54" s="326">
        <v>1</v>
      </c>
      <c r="D54" s="327">
        <f>LOOKUP(C54,Cities!A$3:A$343,Cities!B$3:B$343)</f>
        <v>0</v>
      </c>
      <c r="E54" s="332">
        <v>0</v>
      </c>
      <c r="F54" s="332">
        <v>0</v>
      </c>
      <c r="G54" s="331">
        <f t="shared" si="0"/>
        <v>0</v>
      </c>
      <c r="H54" s="914" t="str">
        <f t="shared" si="1"/>
        <v>n/a</v>
      </c>
      <c r="I54" s="332">
        <v>0</v>
      </c>
      <c r="J54" s="914" t="str">
        <f>IF(Overflow!K$6&gt;0,ROUND(I54/Overflow!K$6,6),"n/a")</f>
        <v>n/a</v>
      </c>
      <c r="K54" s="332">
        <v>0</v>
      </c>
      <c r="L54" s="914" t="str">
        <f>IF(Overflow!K$8&gt;0,ROUND(K54/Overflow!K$8,6),"n/a")</f>
        <v>n/a</v>
      </c>
      <c r="M54" s="330">
        <f>IF(Overflow!G$8+Overflow!K$6+Overflow!K$8=0,0,ROUND((IF(H54="n/a",0,H54)+IF(J54="n/a",0,J54)+IF(L54="n/a",0,L54))/N$9,6))</f>
        <v>0</v>
      </c>
      <c r="O54" s="785">
        <f>LOOKUP(C54,Cities!A$3:A$343,Cities!AA$3:AA$343)</f>
        <v>0</v>
      </c>
      <c r="P54" s="345"/>
      <c r="Q54" s="345"/>
      <c r="R54" s="345"/>
    </row>
    <row r="55" spans="1:18" s="67" customFormat="1" ht="18" customHeight="1" x14ac:dyDescent="0.2">
      <c r="A55" s="325">
        <f t="shared" si="2"/>
        <v>179</v>
      </c>
      <c r="B55" s="878"/>
      <c r="C55" s="326">
        <v>1</v>
      </c>
      <c r="D55" s="327">
        <f>LOOKUP(C55,Cities!A$3:A$343,Cities!B$3:B$343)</f>
        <v>0</v>
      </c>
      <c r="E55" s="332">
        <v>0</v>
      </c>
      <c r="F55" s="332">
        <v>0</v>
      </c>
      <c r="G55" s="331">
        <f t="shared" si="0"/>
        <v>0</v>
      </c>
      <c r="H55" s="914" t="str">
        <f t="shared" si="1"/>
        <v>n/a</v>
      </c>
      <c r="I55" s="332">
        <v>0</v>
      </c>
      <c r="J55" s="914" t="str">
        <f>IF(Overflow!K$6&gt;0,ROUND(I55/Overflow!K$6,6),"n/a")</f>
        <v>n/a</v>
      </c>
      <c r="K55" s="332">
        <v>0</v>
      </c>
      <c r="L55" s="914" t="str">
        <f>IF(Overflow!K$8&gt;0,ROUND(K55/Overflow!K$8,6),"n/a")</f>
        <v>n/a</v>
      </c>
      <c r="M55" s="330">
        <f>IF(Overflow!G$8+Overflow!K$6+Overflow!K$8=0,0,ROUND((IF(H55="n/a",0,H55)+IF(J55="n/a",0,J55)+IF(L55="n/a",0,L55))/N$9,6))</f>
        <v>0</v>
      </c>
      <c r="O55" s="785">
        <f>LOOKUP(C55,Cities!A$3:A$343,Cities!AA$3:AA$343)</f>
        <v>0</v>
      </c>
      <c r="P55" s="345"/>
      <c r="Q55" s="345"/>
      <c r="R55" s="345"/>
    </row>
    <row r="56" spans="1:18" s="67" customFormat="1" ht="18" customHeight="1" x14ac:dyDescent="0.2">
      <c r="A56" s="325">
        <f t="shared" si="2"/>
        <v>180</v>
      </c>
      <c r="B56" s="878"/>
      <c r="C56" s="326">
        <v>1</v>
      </c>
      <c r="D56" s="327">
        <f>LOOKUP(C56,Cities!A$3:A$343,Cities!B$3:B$343)</f>
        <v>0</v>
      </c>
      <c r="E56" s="332">
        <v>0</v>
      </c>
      <c r="F56" s="332">
        <v>0</v>
      </c>
      <c r="G56" s="331">
        <f t="shared" si="0"/>
        <v>0</v>
      </c>
      <c r="H56" s="914" t="str">
        <f t="shared" si="1"/>
        <v>n/a</v>
      </c>
      <c r="I56" s="332">
        <v>0</v>
      </c>
      <c r="J56" s="914" t="str">
        <f>IF(Overflow!K$6&gt;0,ROUND(I56/Overflow!K$6,6),"n/a")</f>
        <v>n/a</v>
      </c>
      <c r="K56" s="332">
        <v>0</v>
      </c>
      <c r="L56" s="914" t="str">
        <f>IF(Overflow!K$8&gt;0,ROUND(K56/Overflow!K$8,6),"n/a")</f>
        <v>n/a</v>
      </c>
      <c r="M56" s="330">
        <f>IF(Overflow!G$8+Overflow!K$6+Overflow!K$8=0,0,ROUND((IF(H56="n/a",0,H56)+IF(J56="n/a",0,J56)+IF(L56="n/a",0,L56))/N$9,6))</f>
        <v>0</v>
      </c>
      <c r="O56" s="785">
        <f>LOOKUP(C56,Cities!A$3:A$343,Cities!AA$3:AA$343)</f>
        <v>0</v>
      </c>
      <c r="P56" s="345"/>
      <c r="Q56" s="345"/>
      <c r="R56" s="345"/>
    </row>
    <row r="57" spans="1:18" s="67" customFormat="1" ht="18" customHeight="1" x14ac:dyDescent="0.2">
      <c r="M57" s="341">
        <f>SUM(M12:M56)</f>
        <v>0</v>
      </c>
      <c r="O57" s="345"/>
      <c r="P57" s="345"/>
      <c r="Q57" s="345"/>
      <c r="R57" s="345"/>
    </row>
    <row r="58" spans="1:18" s="67" customFormat="1" ht="12.75" customHeight="1" x14ac:dyDescent="0.2">
      <c r="B58" s="851"/>
      <c r="K58" s="1567" t="s">
        <v>1669</v>
      </c>
      <c r="O58" s="345"/>
      <c r="P58" s="345"/>
      <c r="Q58" s="345"/>
      <c r="R58" s="345"/>
    </row>
    <row r="59" spans="1:18" s="1" customFormat="1" ht="30" customHeight="1" x14ac:dyDescent="0.4">
      <c r="A59" s="1372" t="s">
        <v>372</v>
      </c>
      <c r="B59" s="1540"/>
      <c r="C59" s="216"/>
      <c r="D59" s="1541" t="s">
        <v>373</v>
      </c>
      <c r="E59" s="1338"/>
      <c r="F59" s="1338"/>
      <c r="G59" s="1338"/>
      <c r="H59" s="1338"/>
      <c r="I59" s="1338"/>
      <c r="J59" s="1338"/>
      <c r="K59" s="1560"/>
      <c r="L59" s="1380">
        <f>+L1</f>
        <v>2018</v>
      </c>
      <c r="M59" s="1381"/>
      <c r="O59" s="344"/>
      <c r="P59" s="344"/>
      <c r="Q59" s="344"/>
      <c r="R59" s="344"/>
    </row>
    <row r="60" spans="1:18" s="1" customFormat="1" ht="15.75" customHeight="1" x14ac:dyDescent="0.2">
      <c r="A60" s="1545" t="s">
        <v>159</v>
      </c>
      <c r="B60" s="1546"/>
      <c r="C60" s="217"/>
      <c r="D60" s="1557"/>
      <c r="E60" s="1558"/>
      <c r="F60" s="1558"/>
      <c r="G60" s="1558"/>
      <c r="H60" s="1558"/>
      <c r="I60" s="1558"/>
      <c r="J60" s="1558"/>
      <c r="K60" s="878"/>
      <c r="L60" s="1382" t="str">
        <f>+'Complete This Page'!J1</f>
        <v>NPAC v2018.0</v>
      </c>
      <c r="M60" s="1383"/>
      <c r="O60" s="291"/>
      <c r="P60" s="344"/>
      <c r="Q60" s="344"/>
      <c r="R60" s="344"/>
    </row>
    <row r="61" spans="1:18" s="1" customFormat="1" x14ac:dyDescent="0.2">
      <c r="A61" s="1" t="s">
        <v>467</v>
      </c>
      <c r="B61" s="879"/>
      <c r="C61" s="879"/>
      <c r="D61" s="879"/>
      <c r="E61" s="879"/>
      <c r="F61" s="879"/>
      <c r="G61" s="879"/>
      <c r="H61" s="879"/>
      <c r="I61" s="880"/>
      <c r="J61" s="334"/>
      <c r="K61" s="335" t="s">
        <v>466</v>
      </c>
      <c r="O61" s="291"/>
      <c r="P61" s="344"/>
      <c r="Q61" s="344"/>
      <c r="R61" s="344"/>
    </row>
    <row r="62" spans="1:18" s="1" customFormat="1" ht="18" x14ac:dyDescent="0.25">
      <c r="A62" s="881"/>
      <c r="B62" s="1377">
        <f>+B4</f>
        <v>0</v>
      </c>
      <c r="C62" s="1377"/>
      <c r="D62" s="1377"/>
      <c r="E62" s="1377"/>
      <c r="F62" s="1377"/>
      <c r="G62" s="1377"/>
      <c r="H62" s="1377"/>
      <c r="I62" s="1377"/>
      <c r="J62" s="1378"/>
      <c r="K62" s="1350">
        <f>+K4</f>
        <v>0</v>
      </c>
      <c r="L62" s="1351"/>
      <c r="M62" s="1351"/>
      <c r="O62" s="291"/>
      <c r="P62" s="344"/>
      <c r="Q62" s="344"/>
      <c r="R62" s="344"/>
    </row>
    <row r="63" spans="1:18" x14ac:dyDescent="0.2">
      <c r="A63" s="328"/>
      <c r="O63" s="786"/>
      <c r="P63" s="171"/>
      <c r="Q63" s="171"/>
      <c r="R63" s="171"/>
    </row>
    <row r="64" spans="1:18" ht="47.25" customHeight="1" x14ac:dyDescent="0.2">
      <c r="B64" s="322"/>
      <c r="C64" s="1"/>
      <c r="D64" s="1547" t="s">
        <v>588</v>
      </c>
      <c r="E64" s="1547" t="s">
        <v>1684</v>
      </c>
      <c r="F64" s="1547" t="s">
        <v>1690</v>
      </c>
      <c r="G64" s="1553" t="s">
        <v>1685</v>
      </c>
      <c r="H64" s="1554"/>
      <c r="I64" s="1553" t="s">
        <v>1689</v>
      </c>
      <c r="J64" s="1554"/>
      <c r="K64" s="21"/>
      <c r="L64" s="1539"/>
      <c r="M64" s="1123"/>
      <c r="O64" s="1565"/>
      <c r="P64" s="171"/>
      <c r="Q64" s="171"/>
      <c r="R64" s="171"/>
    </row>
    <row r="65" spans="1:18" x14ac:dyDescent="0.2">
      <c r="B65" s="323" t="s">
        <v>618</v>
      </c>
      <c r="C65" s="324" t="s">
        <v>164</v>
      </c>
      <c r="D65" s="1548"/>
      <c r="E65" s="1552"/>
      <c r="F65" s="1552"/>
      <c r="G65" s="1555"/>
      <c r="H65" s="1556"/>
      <c r="I65" s="1555"/>
      <c r="J65" s="1556"/>
      <c r="K65" s="22" t="s">
        <v>561</v>
      </c>
      <c r="L65" s="1064" t="s">
        <v>562</v>
      </c>
      <c r="M65" s="1549"/>
      <c r="O65" s="1565"/>
      <c r="P65" s="171"/>
      <c r="Q65" s="171"/>
      <c r="R65" s="171"/>
    </row>
    <row r="66" spans="1:18" ht="15" x14ac:dyDescent="0.2">
      <c r="A66" s="325">
        <v>136</v>
      </c>
      <c r="B66" s="336" t="str">
        <f>IF(C66=1,"",LOOKUP(C66,Cities!A$3:A$343,Cities!C$3:C$343))</f>
        <v/>
      </c>
      <c r="C66" s="338">
        <f t="shared" ref="C66:D81" si="3">+C12</f>
        <v>1</v>
      </c>
      <c r="D66" s="337">
        <f t="shared" si="3"/>
        <v>0</v>
      </c>
      <c r="E66" s="812">
        <f>ROUND('Print Return'!$L$37*'Overflow (4)'!M12,0)</f>
        <v>0</v>
      </c>
      <c r="F66" s="955"/>
      <c r="G66" s="1524"/>
      <c r="H66" s="1524"/>
      <c r="I66" s="1525">
        <f>IF(Data!D$33=TRUE,'Overflows Worksheet'!K154,'Overflows Worksheet'!T154)</f>
        <v>0</v>
      </c>
      <c r="J66" s="1525"/>
      <c r="K66" s="853">
        <f>LOOKUP(C12,Cities!A$3:A$343,Cities!D$3:D$343)</f>
        <v>0</v>
      </c>
      <c r="L66" s="1522">
        <f>IF(AND(I66&gt;0, OR(I66*K66&gt;10,$L$1&lt;2016)),ROUND(I66*K66,0),0)</f>
        <v>0</v>
      </c>
      <c r="M66" s="1523"/>
      <c r="N66" s="339">
        <f>LOOKUP($C12,Cities!$A$3:$A$356,Cities!$V$3:$V$356)</f>
        <v>0</v>
      </c>
      <c r="O66" s="936" t="str">
        <f>IF(AND(ISNUMBER($L$1)=TRUE,ISNUMBER(O12)=TRUE,O12&gt;=$L$1-5), CONCATENATE("Last 0% tax rate year ", O12),"")</f>
        <v/>
      </c>
      <c r="P66" s="785"/>
      <c r="Q66" s="785">
        <f>IF(P66=FALSE,F66,0)</f>
        <v>0</v>
      </c>
      <c r="R66" s="171"/>
    </row>
    <row r="67" spans="1:18" ht="15" x14ac:dyDescent="0.2">
      <c r="A67" s="325">
        <f>A66+1</f>
        <v>137</v>
      </c>
      <c r="B67" s="336" t="str">
        <f>IF(C67=1,"",LOOKUP(C67,Cities!A$3:A$343,Cities!C$3:C$343))</f>
        <v/>
      </c>
      <c r="C67" s="338">
        <f t="shared" si="3"/>
        <v>1</v>
      </c>
      <c r="D67" s="337">
        <f t="shared" si="3"/>
        <v>0</v>
      </c>
      <c r="E67" s="812">
        <f>ROUND('Print Return'!$L$37*'Overflow (4)'!M13,0)</f>
        <v>0</v>
      </c>
      <c r="F67" s="955"/>
      <c r="G67" s="1524"/>
      <c r="H67" s="1524"/>
      <c r="I67" s="1525">
        <f>IF(Data!D$33=TRUE,'Overflows Worksheet'!K155,'Overflows Worksheet'!T155)</f>
        <v>0</v>
      </c>
      <c r="J67" s="1525"/>
      <c r="K67" s="853">
        <f>LOOKUP(C13,Cities!A$3:A$343,Cities!D$3:D$343)</f>
        <v>0</v>
      </c>
      <c r="L67" s="1522">
        <f t="shared" ref="L67:L110" si="4">IF(AND(I67&gt;0, OR(I67*K67&gt;10,$L$1&lt;2016)),ROUND(I67*K67,0),0)</f>
        <v>0</v>
      </c>
      <c r="M67" s="1523"/>
      <c r="N67" s="339">
        <f>LOOKUP($C13,Cities!$A$3:$A$356,Cities!$V$3:$V$356)</f>
        <v>0</v>
      </c>
      <c r="O67" s="936" t="str">
        <f t="shared" ref="O67:O110" si="5">IF(AND(ISNUMBER($L$1)=TRUE,ISNUMBER(O13)=TRUE,O13&gt;=$L$1-5), CONCATENATE("Last 0% tax rate year ", O13),"")</f>
        <v/>
      </c>
      <c r="P67" s="785"/>
      <c r="Q67" s="785">
        <f t="shared" ref="Q67:Q110" si="6">IF(P67=FALSE,F67,0)</f>
        <v>0</v>
      </c>
      <c r="R67" s="171"/>
    </row>
    <row r="68" spans="1:18" ht="15" x14ac:dyDescent="0.2">
      <c r="A68" s="325">
        <f t="shared" ref="A68:A110" si="7">A67+1</f>
        <v>138</v>
      </c>
      <c r="B68" s="336" t="str">
        <f>IF(C68=1,"",LOOKUP(C68,Cities!A$3:A$343,Cities!C$3:C$343))</f>
        <v/>
      </c>
      <c r="C68" s="338">
        <f t="shared" si="3"/>
        <v>1</v>
      </c>
      <c r="D68" s="337">
        <f t="shared" si="3"/>
        <v>0</v>
      </c>
      <c r="E68" s="812">
        <f>ROUND('Print Return'!$L$37*'Overflow (4)'!M14,0)</f>
        <v>0</v>
      </c>
      <c r="F68" s="955"/>
      <c r="G68" s="1524"/>
      <c r="H68" s="1524"/>
      <c r="I68" s="1525">
        <f>IF(Data!D$33=TRUE,'Overflows Worksheet'!K156,'Overflows Worksheet'!T156)</f>
        <v>0</v>
      </c>
      <c r="J68" s="1525"/>
      <c r="K68" s="853">
        <f>LOOKUP(C14,Cities!A$3:A$343,Cities!D$3:D$343)</f>
        <v>0</v>
      </c>
      <c r="L68" s="1522">
        <f t="shared" si="4"/>
        <v>0</v>
      </c>
      <c r="M68" s="1523"/>
      <c r="N68" s="339">
        <f>LOOKUP($C14,Cities!$A$3:$A$356,Cities!$V$3:$V$356)</f>
        <v>0</v>
      </c>
      <c r="O68" s="936" t="str">
        <f t="shared" si="5"/>
        <v/>
      </c>
      <c r="P68" s="785"/>
      <c r="Q68" s="785">
        <f t="shared" si="6"/>
        <v>0</v>
      </c>
      <c r="R68" s="171"/>
    </row>
    <row r="69" spans="1:18" ht="15" x14ac:dyDescent="0.2">
      <c r="A69" s="325">
        <f t="shared" si="7"/>
        <v>139</v>
      </c>
      <c r="B69" s="336" t="str">
        <f>IF(C69=1,"",LOOKUP(C69,Cities!A$3:A$343,Cities!C$3:C$343))</f>
        <v/>
      </c>
      <c r="C69" s="338">
        <f t="shared" si="3"/>
        <v>1</v>
      </c>
      <c r="D69" s="337">
        <f t="shared" si="3"/>
        <v>0</v>
      </c>
      <c r="E69" s="812">
        <f>ROUND('Print Return'!$L$37*'Overflow (4)'!M15,0)</f>
        <v>0</v>
      </c>
      <c r="F69" s="955"/>
      <c r="G69" s="1524"/>
      <c r="H69" s="1524"/>
      <c r="I69" s="1525">
        <f>IF(Data!D$33=TRUE,'Overflows Worksheet'!K157,'Overflows Worksheet'!T157)</f>
        <v>0</v>
      </c>
      <c r="J69" s="1525"/>
      <c r="K69" s="853">
        <f>LOOKUP(C15,Cities!A$3:A$343,Cities!D$3:D$343)</f>
        <v>0</v>
      </c>
      <c r="L69" s="1522">
        <f t="shared" si="4"/>
        <v>0</v>
      </c>
      <c r="M69" s="1523"/>
      <c r="N69" s="339">
        <f>LOOKUP($C15,Cities!$A$3:$A$356,Cities!$V$3:$V$356)</f>
        <v>0</v>
      </c>
      <c r="O69" s="936" t="str">
        <f t="shared" si="5"/>
        <v/>
      </c>
      <c r="P69" s="785"/>
      <c r="Q69" s="785">
        <f t="shared" si="6"/>
        <v>0</v>
      </c>
      <c r="R69" s="171"/>
    </row>
    <row r="70" spans="1:18" ht="15" x14ac:dyDescent="0.2">
      <c r="A70" s="325">
        <f t="shared" si="7"/>
        <v>140</v>
      </c>
      <c r="B70" s="336" t="str">
        <f>IF(C70=1,"",LOOKUP(C70,Cities!A$3:A$343,Cities!C$3:C$343))</f>
        <v/>
      </c>
      <c r="C70" s="338">
        <f t="shared" si="3"/>
        <v>1</v>
      </c>
      <c r="D70" s="337">
        <f t="shared" si="3"/>
        <v>0</v>
      </c>
      <c r="E70" s="812">
        <f>ROUND('Print Return'!$L$37*'Overflow (4)'!M16,0)</f>
        <v>0</v>
      </c>
      <c r="F70" s="955"/>
      <c r="G70" s="1524"/>
      <c r="H70" s="1524"/>
      <c r="I70" s="1525">
        <f>IF(Data!D$33=TRUE,'Overflows Worksheet'!K158,'Overflows Worksheet'!T158)</f>
        <v>0</v>
      </c>
      <c r="J70" s="1525"/>
      <c r="K70" s="853">
        <f>LOOKUP(C16,Cities!A$3:A$343,Cities!D$3:D$343)</f>
        <v>0</v>
      </c>
      <c r="L70" s="1522">
        <f t="shared" si="4"/>
        <v>0</v>
      </c>
      <c r="M70" s="1523"/>
      <c r="N70" s="339">
        <f>LOOKUP($C16,Cities!$A$3:$A$356,Cities!$V$3:$V$356)</f>
        <v>0</v>
      </c>
      <c r="O70" s="936" t="str">
        <f t="shared" si="5"/>
        <v/>
      </c>
      <c r="P70" s="785"/>
      <c r="Q70" s="785">
        <f t="shared" si="6"/>
        <v>0</v>
      </c>
      <c r="R70" s="171"/>
    </row>
    <row r="71" spans="1:18" ht="15" x14ac:dyDescent="0.2">
      <c r="A71" s="325">
        <f t="shared" si="7"/>
        <v>141</v>
      </c>
      <c r="B71" s="336" t="str">
        <f>IF(C71=1,"",LOOKUP(C71,Cities!A$3:A$343,Cities!C$3:C$343))</f>
        <v/>
      </c>
      <c r="C71" s="338">
        <f t="shared" si="3"/>
        <v>1</v>
      </c>
      <c r="D71" s="337">
        <f t="shared" si="3"/>
        <v>0</v>
      </c>
      <c r="E71" s="812">
        <f>ROUND('Print Return'!$L$37*'Overflow (4)'!M17,0)</f>
        <v>0</v>
      </c>
      <c r="F71" s="955"/>
      <c r="G71" s="1524"/>
      <c r="H71" s="1524"/>
      <c r="I71" s="1525">
        <f>IF(Data!D$33=TRUE,'Overflows Worksheet'!K159,'Overflows Worksheet'!T159)</f>
        <v>0</v>
      </c>
      <c r="J71" s="1525"/>
      <c r="K71" s="853">
        <f>LOOKUP(C17,Cities!A$3:A$343,Cities!D$3:D$343)</f>
        <v>0</v>
      </c>
      <c r="L71" s="1522">
        <f t="shared" si="4"/>
        <v>0</v>
      </c>
      <c r="M71" s="1523"/>
      <c r="N71" s="339">
        <f>LOOKUP($C17,Cities!$A$3:$A$356,Cities!$V$3:$V$356)</f>
        <v>0</v>
      </c>
      <c r="O71" s="936" t="str">
        <f t="shared" si="5"/>
        <v/>
      </c>
      <c r="P71" s="785"/>
      <c r="Q71" s="785">
        <f t="shared" si="6"/>
        <v>0</v>
      </c>
      <c r="R71" s="171"/>
    </row>
    <row r="72" spans="1:18" ht="15" x14ac:dyDescent="0.2">
      <c r="A72" s="325">
        <f t="shared" si="7"/>
        <v>142</v>
      </c>
      <c r="B72" s="336" t="str">
        <f>IF(C72=1,"",LOOKUP(C72,Cities!A$3:A$343,Cities!C$3:C$343))</f>
        <v/>
      </c>
      <c r="C72" s="338">
        <f t="shared" si="3"/>
        <v>1</v>
      </c>
      <c r="D72" s="337">
        <f t="shared" si="3"/>
        <v>0</v>
      </c>
      <c r="E72" s="812">
        <f>ROUND('Print Return'!$L$37*'Overflow (4)'!M18,0)</f>
        <v>0</v>
      </c>
      <c r="F72" s="955"/>
      <c r="G72" s="1524"/>
      <c r="H72" s="1524"/>
      <c r="I72" s="1525">
        <f>IF(Data!D$33=TRUE,'Overflows Worksheet'!K160,'Overflows Worksheet'!T160)</f>
        <v>0</v>
      </c>
      <c r="J72" s="1525"/>
      <c r="K72" s="853">
        <f>LOOKUP(C18,Cities!A$3:A$343,Cities!D$3:D$343)</f>
        <v>0</v>
      </c>
      <c r="L72" s="1522">
        <f t="shared" si="4"/>
        <v>0</v>
      </c>
      <c r="M72" s="1523"/>
      <c r="N72" s="339">
        <f>LOOKUP($C18,Cities!$A$3:$A$356,Cities!$V$3:$V$356)</f>
        <v>0</v>
      </c>
      <c r="O72" s="936" t="str">
        <f t="shared" si="5"/>
        <v/>
      </c>
      <c r="P72" s="785"/>
      <c r="Q72" s="785">
        <f t="shared" si="6"/>
        <v>0</v>
      </c>
      <c r="R72" s="171"/>
    </row>
    <row r="73" spans="1:18" ht="15" x14ac:dyDescent="0.2">
      <c r="A73" s="325">
        <f t="shared" si="7"/>
        <v>143</v>
      </c>
      <c r="B73" s="336" t="str">
        <f>IF(C73=1,"",LOOKUP(C73,Cities!A$3:A$343,Cities!C$3:C$343))</f>
        <v/>
      </c>
      <c r="C73" s="338">
        <f t="shared" si="3"/>
        <v>1</v>
      </c>
      <c r="D73" s="337">
        <f t="shared" si="3"/>
        <v>0</v>
      </c>
      <c r="E73" s="812">
        <f>ROUND('Print Return'!$L$37*'Overflow (4)'!M19,0)</f>
        <v>0</v>
      </c>
      <c r="F73" s="955"/>
      <c r="G73" s="1524"/>
      <c r="H73" s="1524"/>
      <c r="I73" s="1525">
        <f>IF(Data!D$33=TRUE,'Overflows Worksheet'!K161,'Overflows Worksheet'!T161)</f>
        <v>0</v>
      </c>
      <c r="J73" s="1525"/>
      <c r="K73" s="853">
        <f>LOOKUP(C19,Cities!A$3:A$343,Cities!D$3:D$343)</f>
        <v>0</v>
      </c>
      <c r="L73" s="1522">
        <f t="shared" si="4"/>
        <v>0</v>
      </c>
      <c r="M73" s="1523"/>
      <c r="N73" s="339">
        <f>LOOKUP($C19,Cities!$A$3:$A$356,Cities!$V$3:$V$356)</f>
        <v>0</v>
      </c>
      <c r="O73" s="936" t="str">
        <f t="shared" si="5"/>
        <v/>
      </c>
      <c r="P73" s="785"/>
      <c r="Q73" s="785">
        <f t="shared" si="6"/>
        <v>0</v>
      </c>
      <c r="R73" s="171"/>
    </row>
    <row r="74" spans="1:18" ht="15" x14ac:dyDescent="0.2">
      <c r="A74" s="325">
        <f t="shared" si="7"/>
        <v>144</v>
      </c>
      <c r="B74" s="336" t="str">
        <f>IF(C74=1,"",LOOKUP(C74,Cities!A$3:A$343,Cities!C$3:C$343))</f>
        <v/>
      </c>
      <c r="C74" s="338">
        <f t="shared" si="3"/>
        <v>1</v>
      </c>
      <c r="D74" s="337">
        <f t="shared" si="3"/>
        <v>0</v>
      </c>
      <c r="E74" s="812">
        <f>ROUND('Print Return'!$L$37*'Overflow (4)'!M20,0)</f>
        <v>0</v>
      </c>
      <c r="F74" s="955"/>
      <c r="G74" s="1524"/>
      <c r="H74" s="1524"/>
      <c r="I74" s="1525">
        <f>IF(Data!D$33=TRUE,'Overflows Worksheet'!K162,'Overflows Worksheet'!T162)</f>
        <v>0</v>
      </c>
      <c r="J74" s="1525"/>
      <c r="K74" s="853">
        <f>LOOKUP(C20,Cities!A$3:A$343,Cities!D$3:D$343)</f>
        <v>0</v>
      </c>
      <c r="L74" s="1522">
        <f t="shared" si="4"/>
        <v>0</v>
      </c>
      <c r="M74" s="1523"/>
      <c r="N74" s="339">
        <f>LOOKUP($C20,Cities!$A$3:$A$356,Cities!$V$3:$V$356)</f>
        <v>0</v>
      </c>
      <c r="O74" s="936" t="str">
        <f t="shared" si="5"/>
        <v/>
      </c>
      <c r="P74" s="785"/>
      <c r="Q74" s="785">
        <f t="shared" si="6"/>
        <v>0</v>
      </c>
      <c r="R74" s="171"/>
    </row>
    <row r="75" spans="1:18" ht="15" x14ac:dyDescent="0.2">
      <c r="A75" s="325">
        <f t="shared" si="7"/>
        <v>145</v>
      </c>
      <c r="B75" s="336" t="str">
        <f>IF(C75=1,"",LOOKUP(C75,Cities!A$3:A$343,Cities!C$3:C$343))</f>
        <v/>
      </c>
      <c r="C75" s="338">
        <f t="shared" si="3"/>
        <v>1</v>
      </c>
      <c r="D75" s="337">
        <f t="shared" si="3"/>
        <v>0</v>
      </c>
      <c r="E75" s="812">
        <f>ROUND('Print Return'!$L$37*'Overflow (4)'!M21,0)</f>
        <v>0</v>
      </c>
      <c r="F75" s="955"/>
      <c r="G75" s="1524"/>
      <c r="H75" s="1524"/>
      <c r="I75" s="1525">
        <f>IF(Data!D$33=TRUE,'Overflows Worksheet'!K163,'Overflows Worksheet'!T163)</f>
        <v>0</v>
      </c>
      <c r="J75" s="1525"/>
      <c r="K75" s="853">
        <f>LOOKUP(C21,Cities!A$3:A$343,Cities!D$3:D$343)</f>
        <v>0</v>
      </c>
      <c r="L75" s="1522">
        <f t="shared" si="4"/>
        <v>0</v>
      </c>
      <c r="M75" s="1523"/>
      <c r="N75" s="339">
        <f>LOOKUP($C21,Cities!$A$3:$A$356,Cities!$V$3:$V$356)</f>
        <v>0</v>
      </c>
      <c r="O75" s="936" t="str">
        <f t="shared" si="5"/>
        <v/>
      </c>
      <c r="P75" s="785"/>
      <c r="Q75" s="785">
        <f t="shared" si="6"/>
        <v>0</v>
      </c>
      <c r="R75" s="171"/>
    </row>
    <row r="76" spans="1:18" ht="15" x14ac:dyDescent="0.2">
      <c r="A76" s="325">
        <f t="shared" si="7"/>
        <v>146</v>
      </c>
      <c r="B76" s="336" t="str">
        <f>IF(C76=1,"",LOOKUP(C76,Cities!A$3:A$343,Cities!C$3:C$343))</f>
        <v/>
      </c>
      <c r="C76" s="338">
        <f t="shared" si="3"/>
        <v>1</v>
      </c>
      <c r="D76" s="337">
        <f t="shared" si="3"/>
        <v>0</v>
      </c>
      <c r="E76" s="812">
        <f>ROUND('Print Return'!$L$37*'Overflow (4)'!M22,0)</f>
        <v>0</v>
      </c>
      <c r="F76" s="955"/>
      <c r="G76" s="1524"/>
      <c r="H76" s="1524"/>
      <c r="I76" s="1525">
        <f>IF(Data!D$33=TRUE,'Overflows Worksheet'!K164,'Overflows Worksheet'!T164)</f>
        <v>0</v>
      </c>
      <c r="J76" s="1525"/>
      <c r="K76" s="853">
        <f>LOOKUP(C22,Cities!A$3:A$343,Cities!D$3:D$343)</f>
        <v>0</v>
      </c>
      <c r="L76" s="1522">
        <f t="shared" si="4"/>
        <v>0</v>
      </c>
      <c r="M76" s="1523"/>
      <c r="N76" s="339">
        <f>LOOKUP($C22,Cities!$A$3:$A$356,Cities!$V$3:$V$356)</f>
        <v>0</v>
      </c>
      <c r="O76" s="936" t="str">
        <f t="shared" si="5"/>
        <v/>
      </c>
      <c r="P76" s="785"/>
      <c r="Q76" s="785">
        <f t="shared" si="6"/>
        <v>0</v>
      </c>
      <c r="R76" s="171"/>
    </row>
    <row r="77" spans="1:18" ht="15" x14ac:dyDescent="0.2">
      <c r="A77" s="325">
        <f t="shared" si="7"/>
        <v>147</v>
      </c>
      <c r="B77" s="336" t="str">
        <f>IF(C77=1,"",LOOKUP(C77,Cities!A$3:A$343,Cities!C$3:C$343))</f>
        <v/>
      </c>
      <c r="C77" s="338">
        <f t="shared" si="3"/>
        <v>1</v>
      </c>
      <c r="D77" s="337">
        <f t="shared" si="3"/>
        <v>0</v>
      </c>
      <c r="E77" s="812">
        <f>ROUND('Print Return'!$L$37*'Overflow (4)'!M23,0)</f>
        <v>0</v>
      </c>
      <c r="F77" s="955"/>
      <c r="G77" s="1524"/>
      <c r="H77" s="1524"/>
      <c r="I77" s="1525">
        <f>IF(Data!D$33=TRUE,'Overflows Worksheet'!K165,'Overflows Worksheet'!T165)</f>
        <v>0</v>
      </c>
      <c r="J77" s="1525"/>
      <c r="K77" s="853">
        <f>LOOKUP(C23,Cities!A$3:A$343,Cities!D$3:D$343)</f>
        <v>0</v>
      </c>
      <c r="L77" s="1522">
        <f t="shared" si="4"/>
        <v>0</v>
      </c>
      <c r="M77" s="1523"/>
      <c r="N77" s="339">
        <f>LOOKUP($C23,Cities!$A$3:$A$356,Cities!$V$3:$V$356)</f>
        <v>0</v>
      </c>
      <c r="O77" s="936" t="str">
        <f t="shared" si="5"/>
        <v/>
      </c>
      <c r="P77" s="785"/>
      <c r="Q77" s="785">
        <f t="shared" si="6"/>
        <v>0</v>
      </c>
      <c r="R77" s="171"/>
    </row>
    <row r="78" spans="1:18" ht="15" x14ac:dyDescent="0.2">
      <c r="A78" s="325">
        <f t="shared" si="7"/>
        <v>148</v>
      </c>
      <c r="B78" s="336" t="str">
        <f>IF(C78=1,"",LOOKUP(C78,Cities!A$3:A$343,Cities!C$3:C$343))</f>
        <v/>
      </c>
      <c r="C78" s="338">
        <f t="shared" si="3"/>
        <v>1</v>
      </c>
      <c r="D78" s="337">
        <f t="shared" si="3"/>
        <v>0</v>
      </c>
      <c r="E78" s="812">
        <f>ROUND('Print Return'!$L$37*'Overflow (4)'!M24,0)</f>
        <v>0</v>
      </c>
      <c r="F78" s="955"/>
      <c r="G78" s="1524"/>
      <c r="H78" s="1524"/>
      <c r="I78" s="1525">
        <f>IF(Data!D$33=TRUE,'Overflows Worksheet'!K166,'Overflows Worksheet'!T166)</f>
        <v>0</v>
      </c>
      <c r="J78" s="1525"/>
      <c r="K78" s="853">
        <f>LOOKUP(C24,Cities!A$3:A$343,Cities!D$3:D$343)</f>
        <v>0</v>
      </c>
      <c r="L78" s="1522">
        <f t="shared" si="4"/>
        <v>0</v>
      </c>
      <c r="M78" s="1523"/>
      <c r="N78" s="339">
        <f>LOOKUP($C24,Cities!$A$3:$A$356,Cities!$V$3:$V$356)</f>
        <v>0</v>
      </c>
      <c r="O78" s="936" t="str">
        <f t="shared" si="5"/>
        <v/>
      </c>
      <c r="P78" s="785"/>
      <c r="Q78" s="785">
        <f t="shared" si="6"/>
        <v>0</v>
      </c>
      <c r="R78" s="171"/>
    </row>
    <row r="79" spans="1:18" ht="15" x14ac:dyDescent="0.2">
      <c r="A79" s="325">
        <f t="shared" si="7"/>
        <v>149</v>
      </c>
      <c r="B79" s="336" t="str">
        <f>IF(C79=1,"",LOOKUP(C79,Cities!A$3:A$343,Cities!C$3:C$343))</f>
        <v/>
      </c>
      <c r="C79" s="338">
        <f t="shared" si="3"/>
        <v>1</v>
      </c>
      <c r="D79" s="337">
        <f t="shared" si="3"/>
        <v>0</v>
      </c>
      <c r="E79" s="812">
        <f>ROUND('Print Return'!$L$37*'Overflow (4)'!M25,0)</f>
        <v>0</v>
      </c>
      <c r="F79" s="955"/>
      <c r="G79" s="1524"/>
      <c r="H79" s="1524"/>
      <c r="I79" s="1525">
        <f>IF(Data!D$33=TRUE,'Overflows Worksheet'!K167,'Overflows Worksheet'!T167)</f>
        <v>0</v>
      </c>
      <c r="J79" s="1525"/>
      <c r="K79" s="853">
        <f>LOOKUP(C25,Cities!A$3:A$343,Cities!D$3:D$343)</f>
        <v>0</v>
      </c>
      <c r="L79" s="1522">
        <f t="shared" si="4"/>
        <v>0</v>
      </c>
      <c r="M79" s="1523"/>
      <c r="N79" s="339">
        <f>LOOKUP($C25,Cities!$A$3:$A$356,Cities!$V$3:$V$356)</f>
        <v>0</v>
      </c>
      <c r="O79" s="936" t="str">
        <f t="shared" si="5"/>
        <v/>
      </c>
      <c r="P79" s="785"/>
      <c r="Q79" s="785">
        <f t="shared" si="6"/>
        <v>0</v>
      </c>
      <c r="R79" s="171"/>
    </row>
    <row r="80" spans="1:18" ht="15" x14ac:dyDescent="0.2">
      <c r="A80" s="325">
        <f t="shared" si="7"/>
        <v>150</v>
      </c>
      <c r="B80" s="336" t="str">
        <f>IF(C80=1,"",LOOKUP(C80,Cities!A$3:A$343,Cities!C$3:C$343))</f>
        <v/>
      </c>
      <c r="C80" s="338">
        <f t="shared" si="3"/>
        <v>1</v>
      </c>
      <c r="D80" s="337">
        <f t="shared" si="3"/>
        <v>0</v>
      </c>
      <c r="E80" s="812">
        <f>ROUND('Print Return'!$L$37*'Overflow (4)'!M26,0)</f>
        <v>0</v>
      </c>
      <c r="F80" s="955"/>
      <c r="G80" s="1524"/>
      <c r="H80" s="1524"/>
      <c r="I80" s="1525">
        <f>IF(Data!D$33=TRUE,'Overflows Worksheet'!K168,'Overflows Worksheet'!T168)</f>
        <v>0</v>
      </c>
      <c r="J80" s="1525"/>
      <c r="K80" s="853">
        <f>LOOKUP(C26,Cities!A$3:A$343,Cities!D$3:D$343)</f>
        <v>0</v>
      </c>
      <c r="L80" s="1522">
        <f t="shared" si="4"/>
        <v>0</v>
      </c>
      <c r="M80" s="1523"/>
      <c r="N80" s="339">
        <f>LOOKUP($C26,Cities!$A$3:$A$356,Cities!$V$3:$V$356)</f>
        <v>0</v>
      </c>
      <c r="O80" s="936" t="str">
        <f t="shared" si="5"/>
        <v/>
      </c>
      <c r="P80" s="785"/>
      <c r="Q80" s="785">
        <f t="shared" si="6"/>
        <v>0</v>
      </c>
      <c r="R80" s="171"/>
    </row>
    <row r="81" spans="1:18" ht="15" x14ac:dyDescent="0.2">
      <c r="A81" s="325">
        <f t="shared" si="7"/>
        <v>151</v>
      </c>
      <c r="B81" s="336" t="str">
        <f>IF(C81=1,"",LOOKUP(C81,Cities!A$3:A$343,Cities!C$3:C$343))</f>
        <v/>
      </c>
      <c r="C81" s="338">
        <f t="shared" si="3"/>
        <v>1</v>
      </c>
      <c r="D81" s="337">
        <f t="shared" si="3"/>
        <v>0</v>
      </c>
      <c r="E81" s="812">
        <f>ROUND('Print Return'!$L$37*'Overflow (4)'!M27,0)</f>
        <v>0</v>
      </c>
      <c r="F81" s="955"/>
      <c r="G81" s="1524"/>
      <c r="H81" s="1524"/>
      <c r="I81" s="1525">
        <f>IF(Data!D$33=TRUE,'Overflows Worksheet'!K169,'Overflows Worksheet'!T169)</f>
        <v>0</v>
      </c>
      <c r="J81" s="1525"/>
      <c r="K81" s="853">
        <f>LOOKUP(C27,Cities!A$3:A$343,Cities!D$3:D$343)</f>
        <v>0</v>
      </c>
      <c r="L81" s="1522">
        <f t="shared" si="4"/>
        <v>0</v>
      </c>
      <c r="M81" s="1523"/>
      <c r="N81" s="339">
        <f>LOOKUP($C27,Cities!$A$3:$A$356,Cities!$V$3:$V$356)</f>
        <v>0</v>
      </c>
      <c r="O81" s="936" t="str">
        <f t="shared" si="5"/>
        <v/>
      </c>
      <c r="P81" s="785"/>
      <c r="Q81" s="785">
        <f t="shared" si="6"/>
        <v>0</v>
      </c>
      <c r="R81" s="171"/>
    </row>
    <row r="82" spans="1:18" ht="15" x14ac:dyDescent="0.2">
      <c r="A82" s="325">
        <f t="shared" si="7"/>
        <v>152</v>
      </c>
      <c r="B82" s="336" t="str">
        <f>IF(C82=1,"",LOOKUP(C82,Cities!A$3:A$343,Cities!C$3:C$343))</f>
        <v/>
      </c>
      <c r="C82" s="338">
        <f t="shared" ref="C82:D97" si="8">+C28</f>
        <v>1</v>
      </c>
      <c r="D82" s="337">
        <f t="shared" si="8"/>
        <v>0</v>
      </c>
      <c r="E82" s="812">
        <f>ROUND('Print Return'!$L$37*'Overflow (4)'!M28,0)</f>
        <v>0</v>
      </c>
      <c r="F82" s="955"/>
      <c r="G82" s="1524"/>
      <c r="H82" s="1524"/>
      <c r="I82" s="1525">
        <f>IF(Data!D$33=TRUE,'Overflows Worksheet'!K170,'Overflows Worksheet'!T170)</f>
        <v>0</v>
      </c>
      <c r="J82" s="1525"/>
      <c r="K82" s="853">
        <f>LOOKUP(C28,Cities!A$3:A$343,Cities!D$3:D$343)</f>
        <v>0</v>
      </c>
      <c r="L82" s="1522">
        <f t="shared" si="4"/>
        <v>0</v>
      </c>
      <c r="M82" s="1523"/>
      <c r="N82" s="339">
        <f>LOOKUP($C28,Cities!$A$3:$A$356,Cities!$V$3:$V$356)</f>
        <v>0</v>
      </c>
      <c r="O82" s="936" t="str">
        <f t="shared" si="5"/>
        <v/>
      </c>
      <c r="P82" s="785"/>
      <c r="Q82" s="785">
        <f t="shared" si="6"/>
        <v>0</v>
      </c>
      <c r="R82" s="171"/>
    </row>
    <row r="83" spans="1:18" ht="15" x14ac:dyDescent="0.2">
      <c r="A83" s="325">
        <f t="shared" si="7"/>
        <v>153</v>
      </c>
      <c r="B83" s="336" t="str">
        <f>IF(C83=1,"",LOOKUP(C83,Cities!A$3:A$343,Cities!C$3:C$343))</f>
        <v/>
      </c>
      <c r="C83" s="338">
        <f t="shared" si="8"/>
        <v>1</v>
      </c>
      <c r="D83" s="337">
        <f t="shared" si="8"/>
        <v>0</v>
      </c>
      <c r="E83" s="812">
        <f>ROUND('Print Return'!$L$37*'Overflow (4)'!M29,0)</f>
        <v>0</v>
      </c>
      <c r="F83" s="955"/>
      <c r="G83" s="1524"/>
      <c r="H83" s="1524"/>
      <c r="I83" s="1525">
        <f>IF(Data!D$33=TRUE,'Overflows Worksheet'!K171,'Overflows Worksheet'!T171)</f>
        <v>0</v>
      </c>
      <c r="J83" s="1525"/>
      <c r="K83" s="853">
        <f>LOOKUP(C29,Cities!A$3:A$343,Cities!D$3:D$343)</f>
        <v>0</v>
      </c>
      <c r="L83" s="1522">
        <f t="shared" si="4"/>
        <v>0</v>
      </c>
      <c r="M83" s="1523"/>
      <c r="N83" s="339">
        <f>LOOKUP($C29,Cities!$A$3:$A$356,Cities!$V$3:$V$356)</f>
        <v>0</v>
      </c>
      <c r="O83" s="936" t="str">
        <f t="shared" si="5"/>
        <v/>
      </c>
      <c r="P83" s="785"/>
      <c r="Q83" s="785">
        <f t="shared" si="6"/>
        <v>0</v>
      </c>
      <c r="R83" s="171"/>
    </row>
    <row r="84" spans="1:18" ht="15" x14ac:dyDescent="0.2">
      <c r="A84" s="325">
        <f t="shared" si="7"/>
        <v>154</v>
      </c>
      <c r="B84" s="336" t="str">
        <f>IF(C84=1,"",LOOKUP(C84,Cities!A$3:A$343,Cities!C$3:C$343))</f>
        <v/>
      </c>
      <c r="C84" s="338">
        <f t="shared" si="8"/>
        <v>1</v>
      </c>
      <c r="D84" s="337">
        <f t="shared" si="8"/>
        <v>0</v>
      </c>
      <c r="E84" s="812">
        <f>ROUND('Print Return'!$L$37*'Overflow (4)'!M30,0)</f>
        <v>0</v>
      </c>
      <c r="F84" s="955"/>
      <c r="G84" s="1524"/>
      <c r="H84" s="1524"/>
      <c r="I84" s="1525">
        <f>IF(Data!D$33=TRUE,'Overflows Worksheet'!K172,'Overflows Worksheet'!T172)</f>
        <v>0</v>
      </c>
      <c r="J84" s="1525"/>
      <c r="K84" s="853">
        <f>LOOKUP(C30,Cities!A$3:A$343,Cities!D$3:D$343)</f>
        <v>0</v>
      </c>
      <c r="L84" s="1522">
        <f t="shared" si="4"/>
        <v>0</v>
      </c>
      <c r="M84" s="1523"/>
      <c r="N84" s="339">
        <f>LOOKUP($C30,Cities!$A$3:$A$356,Cities!$V$3:$V$356)</f>
        <v>0</v>
      </c>
      <c r="O84" s="936" t="str">
        <f t="shared" si="5"/>
        <v/>
      </c>
      <c r="P84" s="785"/>
      <c r="Q84" s="785">
        <f t="shared" si="6"/>
        <v>0</v>
      </c>
      <c r="R84" s="171"/>
    </row>
    <row r="85" spans="1:18" ht="15" x14ac:dyDescent="0.2">
      <c r="A85" s="325">
        <f t="shared" si="7"/>
        <v>155</v>
      </c>
      <c r="B85" s="336" t="str">
        <f>IF(C85=1,"",LOOKUP(C85,Cities!A$3:A$343,Cities!C$3:C$343))</f>
        <v/>
      </c>
      <c r="C85" s="338">
        <f t="shared" si="8"/>
        <v>1</v>
      </c>
      <c r="D85" s="337">
        <f t="shared" si="8"/>
        <v>0</v>
      </c>
      <c r="E85" s="812">
        <f>ROUND('Print Return'!$L$37*'Overflow (4)'!M31,0)</f>
        <v>0</v>
      </c>
      <c r="F85" s="955"/>
      <c r="G85" s="1524"/>
      <c r="H85" s="1524"/>
      <c r="I85" s="1525">
        <f>IF(Data!D$33=TRUE,'Overflows Worksheet'!K173,'Overflows Worksheet'!T173)</f>
        <v>0</v>
      </c>
      <c r="J85" s="1525"/>
      <c r="K85" s="853">
        <f>LOOKUP(C31,Cities!A$3:A$343,Cities!D$3:D$343)</f>
        <v>0</v>
      </c>
      <c r="L85" s="1522">
        <f t="shared" si="4"/>
        <v>0</v>
      </c>
      <c r="M85" s="1523"/>
      <c r="N85" s="339">
        <f>LOOKUP($C31,Cities!$A$3:$A$356,Cities!$V$3:$V$356)</f>
        <v>0</v>
      </c>
      <c r="O85" s="936" t="str">
        <f t="shared" si="5"/>
        <v/>
      </c>
      <c r="P85" s="785"/>
      <c r="Q85" s="785">
        <f t="shared" si="6"/>
        <v>0</v>
      </c>
      <c r="R85" s="171"/>
    </row>
    <row r="86" spans="1:18" ht="15" x14ac:dyDescent="0.2">
      <c r="A86" s="325">
        <f t="shared" si="7"/>
        <v>156</v>
      </c>
      <c r="B86" s="336" t="str">
        <f>IF(C86=1,"",LOOKUP(C86,Cities!A$3:A$343,Cities!C$3:C$343))</f>
        <v/>
      </c>
      <c r="C86" s="338">
        <f t="shared" si="8"/>
        <v>1</v>
      </c>
      <c r="D86" s="337">
        <f t="shared" si="8"/>
        <v>0</v>
      </c>
      <c r="E86" s="812">
        <f>ROUND('Print Return'!$L$37*'Overflow (4)'!M32,0)</f>
        <v>0</v>
      </c>
      <c r="F86" s="955"/>
      <c r="G86" s="1524"/>
      <c r="H86" s="1524"/>
      <c r="I86" s="1525">
        <f>IF(Data!D$33=TRUE,'Overflows Worksheet'!K174,'Overflows Worksheet'!T174)</f>
        <v>0</v>
      </c>
      <c r="J86" s="1525"/>
      <c r="K86" s="853">
        <f>LOOKUP(C32,Cities!A$3:A$343,Cities!D$3:D$343)</f>
        <v>0</v>
      </c>
      <c r="L86" s="1522">
        <f t="shared" si="4"/>
        <v>0</v>
      </c>
      <c r="M86" s="1523"/>
      <c r="N86" s="339">
        <f>LOOKUP($C32,Cities!$A$3:$A$356,Cities!$V$3:$V$356)</f>
        <v>0</v>
      </c>
      <c r="O86" s="936" t="str">
        <f t="shared" si="5"/>
        <v/>
      </c>
      <c r="P86" s="785"/>
      <c r="Q86" s="785">
        <f t="shared" si="6"/>
        <v>0</v>
      </c>
      <c r="R86" s="171"/>
    </row>
    <row r="87" spans="1:18" ht="15" x14ac:dyDescent="0.2">
      <c r="A87" s="325">
        <f t="shared" si="7"/>
        <v>157</v>
      </c>
      <c r="B87" s="336" t="str">
        <f>IF(C87=1,"",LOOKUP(C87,Cities!A$3:A$343,Cities!C$3:C$343))</f>
        <v/>
      </c>
      <c r="C87" s="338">
        <f t="shared" si="8"/>
        <v>1</v>
      </c>
      <c r="D87" s="337">
        <f t="shared" si="8"/>
        <v>0</v>
      </c>
      <c r="E87" s="812">
        <f>ROUND('Print Return'!$L$37*'Overflow (4)'!M33,0)</f>
        <v>0</v>
      </c>
      <c r="F87" s="955"/>
      <c r="G87" s="1524"/>
      <c r="H87" s="1524"/>
      <c r="I87" s="1525">
        <f>IF(Data!D$33=TRUE,'Overflows Worksheet'!K175,'Overflows Worksheet'!T175)</f>
        <v>0</v>
      </c>
      <c r="J87" s="1525"/>
      <c r="K87" s="853">
        <f>LOOKUP(C33,Cities!A$3:A$343,Cities!D$3:D$343)</f>
        <v>0</v>
      </c>
      <c r="L87" s="1522">
        <f t="shared" si="4"/>
        <v>0</v>
      </c>
      <c r="M87" s="1523"/>
      <c r="N87" s="339">
        <f>LOOKUP($C33,Cities!$A$3:$A$356,Cities!$V$3:$V$356)</f>
        <v>0</v>
      </c>
      <c r="O87" s="936" t="str">
        <f t="shared" si="5"/>
        <v/>
      </c>
      <c r="P87" s="785"/>
      <c r="Q87" s="785">
        <f t="shared" si="6"/>
        <v>0</v>
      </c>
      <c r="R87" s="171"/>
    </row>
    <row r="88" spans="1:18" ht="15" x14ac:dyDescent="0.2">
      <c r="A88" s="325">
        <f t="shared" si="7"/>
        <v>158</v>
      </c>
      <c r="B88" s="336" t="str">
        <f>IF(C88=1,"",LOOKUP(C88,Cities!A$3:A$343,Cities!C$3:C$343))</f>
        <v/>
      </c>
      <c r="C88" s="338">
        <f t="shared" si="8"/>
        <v>1</v>
      </c>
      <c r="D88" s="337">
        <f t="shared" si="8"/>
        <v>0</v>
      </c>
      <c r="E88" s="812">
        <f>ROUND('Print Return'!$L$37*'Overflow (4)'!M34,0)</f>
        <v>0</v>
      </c>
      <c r="F88" s="955"/>
      <c r="G88" s="1524"/>
      <c r="H88" s="1524"/>
      <c r="I88" s="1525">
        <f>IF(Data!D$33=TRUE,'Overflows Worksheet'!K176,'Overflows Worksheet'!T176)</f>
        <v>0</v>
      </c>
      <c r="J88" s="1525"/>
      <c r="K88" s="853">
        <f>LOOKUP(C34,Cities!A$3:A$343,Cities!D$3:D$343)</f>
        <v>0</v>
      </c>
      <c r="L88" s="1522">
        <f t="shared" si="4"/>
        <v>0</v>
      </c>
      <c r="M88" s="1523"/>
      <c r="N88" s="339">
        <f>LOOKUP($C34,Cities!$A$3:$A$356,Cities!$V$3:$V$356)</f>
        <v>0</v>
      </c>
      <c r="O88" s="936" t="str">
        <f t="shared" si="5"/>
        <v/>
      </c>
      <c r="P88" s="785"/>
      <c r="Q88" s="785">
        <f t="shared" si="6"/>
        <v>0</v>
      </c>
      <c r="R88" s="171"/>
    </row>
    <row r="89" spans="1:18" ht="15" x14ac:dyDescent="0.2">
      <c r="A89" s="325">
        <f t="shared" si="7"/>
        <v>159</v>
      </c>
      <c r="B89" s="336" t="str">
        <f>IF(C89=1,"",LOOKUP(C89,Cities!A$3:A$343,Cities!C$3:C$343))</f>
        <v/>
      </c>
      <c r="C89" s="338">
        <f t="shared" si="8"/>
        <v>1</v>
      </c>
      <c r="D89" s="337">
        <f t="shared" si="8"/>
        <v>0</v>
      </c>
      <c r="E89" s="812">
        <f>ROUND('Print Return'!$L$37*'Overflow (4)'!M35,0)</f>
        <v>0</v>
      </c>
      <c r="F89" s="955"/>
      <c r="G89" s="1524"/>
      <c r="H89" s="1524"/>
      <c r="I89" s="1525">
        <f>IF(Data!D$33=TRUE,'Overflows Worksheet'!K177,'Overflows Worksheet'!T177)</f>
        <v>0</v>
      </c>
      <c r="J89" s="1525"/>
      <c r="K89" s="853">
        <f>LOOKUP(C35,Cities!A$3:A$343,Cities!D$3:D$343)</f>
        <v>0</v>
      </c>
      <c r="L89" s="1522">
        <f t="shared" si="4"/>
        <v>0</v>
      </c>
      <c r="M89" s="1523"/>
      <c r="N89" s="339">
        <f>LOOKUP($C35,Cities!$A$3:$A$356,Cities!$V$3:$V$356)</f>
        <v>0</v>
      </c>
      <c r="O89" s="936" t="str">
        <f t="shared" si="5"/>
        <v/>
      </c>
      <c r="P89" s="785"/>
      <c r="Q89" s="785">
        <f t="shared" si="6"/>
        <v>0</v>
      </c>
      <c r="R89" s="171"/>
    </row>
    <row r="90" spans="1:18" ht="15" x14ac:dyDescent="0.2">
      <c r="A90" s="325">
        <f t="shared" si="7"/>
        <v>160</v>
      </c>
      <c r="B90" s="336" t="str">
        <f>IF(C90=1,"",LOOKUP(C90,Cities!A$3:A$343,Cities!C$3:C$343))</f>
        <v/>
      </c>
      <c r="C90" s="338">
        <f t="shared" si="8"/>
        <v>1</v>
      </c>
      <c r="D90" s="337">
        <f t="shared" si="8"/>
        <v>0</v>
      </c>
      <c r="E90" s="812">
        <f>ROUND('Print Return'!$L$37*'Overflow (4)'!M36,0)</f>
        <v>0</v>
      </c>
      <c r="F90" s="955"/>
      <c r="G90" s="1524"/>
      <c r="H90" s="1524"/>
      <c r="I90" s="1525">
        <f>IF(Data!D$33=TRUE,'Overflows Worksheet'!K178,'Overflows Worksheet'!T178)</f>
        <v>0</v>
      </c>
      <c r="J90" s="1525"/>
      <c r="K90" s="853">
        <f>LOOKUP(C36,Cities!A$3:A$343,Cities!D$3:D$343)</f>
        <v>0</v>
      </c>
      <c r="L90" s="1522">
        <f t="shared" si="4"/>
        <v>0</v>
      </c>
      <c r="M90" s="1523"/>
      <c r="N90" s="339">
        <f>LOOKUP($C36,Cities!$A$3:$A$356,Cities!$V$3:$V$356)</f>
        <v>0</v>
      </c>
      <c r="O90" s="936" t="str">
        <f t="shared" si="5"/>
        <v/>
      </c>
      <c r="P90" s="785"/>
      <c r="Q90" s="785">
        <f t="shared" si="6"/>
        <v>0</v>
      </c>
      <c r="R90" s="171"/>
    </row>
    <row r="91" spans="1:18" ht="15" x14ac:dyDescent="0.2">
      <c r="A91" s="325">
        <f t="shared" si="7"/>
        <v>161</v>
      </c>
      <c r="B91" s="336" t="str">
        <f>IF(C91=1,"",LOOKUP(C91,Cities!A$3:A$343,Cities!C$3:C$343))</f>
        <v/>
      </c>
      <c r="C91" s="338">
        <f t="shared" si="8"/>
        <v>1</v>
      </c>
      <c r="D91" s="337">
        <f t="shared" si="8"/>
        <v>0</v>
      </c>
      <c r="E91" s="812">
        <f>ROUND('Print Return'!$L$37*'Overflow (4)'!M37,0)</f>
        <v>0</v>
      </c>
      <c r="F91" s="955"/>
      <c r="G91" s="1524"/>
      <c r="H91" s="1524"/>
      <c r="I91" s="1525">
        <f>IF(Data!D$33=TRUE,'Overflows Worksheet'!K179,'Overflows Worksheet'!T179)</f>
        <v>0</v>
      </c>
      <c r="J91" s="1525"/>
      <c r="K91" s="853">
        <f>LOOKUP(C37,Cities!A$3:A$343,Cities!D$3:D$343)</f>
        <v>0</v>
      </c>
      <c r="L91" s="1522">
        <f t="shared" si="4"/>
        <v>0</v>
      </c>
      <c r="M91" s="1523"/>
      <c r="N91" s="339">
        <f>LOOKUP($C37,Cities!$A$3:$A$356,Cities!$V$3:$V$356)</f>
        <v>0</v>
      </c>
      <c r="O91" s="936" t="str">
        <f t="shared" si="5"/>
        <v/>
      </c>
      <c r="P91" s="785"/>
      <c r="Q91" s="785">
        <f t="shared" si="6"/>
        <v>0</v>
      </c>
      <c r="R91" s="171"/>
    </row>
    <row r="92" spans="1:18" ht="15" x14ac:dyDescent="0.2">
      <c r="A92" s="325">
        <f t="shared" si="7"/>
        <v>162</v>
      </c>
      <c r="B92" s="336" t="str">
        <f>IF(C92=1,"",LOOKUP(C92,Cities!A$3:A$343,Cities!C$3:C$343))</f>
        <v/>
      </c>
      <c r="C92" s="338">
        <f t="shared" si="8"/>
        <v>1</v>
      </c>
      <c r="D92" s="337">
        <f t="shared" si="8"/>
        <v>0</v>
      </c>
      <c r="E92" s="812">
        <f>ROUND('Print Return'!$L$37*'Overflow (4)'!M38,0)</f>
        <v>0</v>
      </c>
      <c r="F92" s="955"/>
      <c r="G92" s="1524"/>
      <c r="H92" s="1524"/>
      <c r="I92" s="1525">
        <f>IF(Data!D$33=TRUE,'Overflows Worksheet'!K180,'Overflows Worksheet'!T180)</f>
        <v>0</v>
      </c>
      <c r="J92" s="1525"/>
      <c r="K92" s="853">
        <f>LOOKUP(C38,Cities!A$3:A$343,Cities!D$3:D$343)</f>
        <v>0</v>
      </c>
      <c r="L92" s="1522">
        <f t="shared" si="4"/>
        <v>0</v>
      </c>
      <c r="M92" s="1523"/>
      <c r="N92" s="339">
        <f>LOOKUP($C38,Cities!$A$3:$A$356,Cities!$V$3:$V$356)</f>
        <v>0</v>
      </c>
      <c r="O92" s="936" t="str">
        <f t="shared" si="5"/>
        <v/>
      </c>
      <c r="P92" s="785"/>
      <c r="Q92" s="785">
        <f t="shared" si="6"/>
        <v>0</v>
      </c>
      <c r="R92" s="171"/>
    </row>
    <row r="93" spans="1:18" ht="15" x14ac:dyDescent="0.2">
      <c r="A93" s="325">
        <f t="shared" si="7"/>
        <v>163</v>
      </c>
      <c r="B93" s="336" t="str">
        <f>IF(C93=1,"",LOOKUP(C93,Cities!A$3:A$343,Cities!C$3:C$343))</f>
        <v/>
      </c>
      <c r="C93" s="338">
        <f t="shared" si="8"/>
        <v>1</v>
      </c>
      <c r="D93" s="337">
        <f t="shared" si="8"/>
        <v>0</v>
      </c>
      <c r="E93" s="812">
        <f>ROUND('Print Return'!$L$37*'Overflow (4)'!M39,0)</f>
        <v>0</v>
      </c>
      <c r="F93" s="955"/>
      <c r="G93" s="1524"/>
      <c r="H93" s="1524"/>
      <c r="I93" s="1525">
        <f>IF(Data!D$33=TRUE,'Overflows Worksheet'!K181,'Overflows Worksheet'!T181)</f>
        <v>0</v>
      </c>
      <c r="J93" s="1525"/>
      <c r="K93" s="853">
        <f>LOOKUP(C39,Cities!A$3:A$343,Cities!D$3:D$343)</f>
        <v>0</v>
      </c>
      <c r="L93" s="1522">
        <f t="shared" si="4"/>
        <v>0</v>
      </c>
      <c r="M93" s="1523"/>
      <c r="N93" s="339">
        <f>LOOKUP($C39,Cities!$A$3:$A$356,Cities!$V$3:$V$356)</f>
        <v>0</v>
      </c>
      <c r="O93" s="936" t="str">
        <f t="shared" si="5"/>
        <v/>
      </c>
      <c r="P93" s="785"/>
      <c r="Q93" s="785">
        <f t="shared" si="6"/>
        <v>0</v>
      </c>
      <c r="R93" s="171"/>
    </row>
    <row r="94" spans="1:18" ht="15" x14ac:dyDescent="0.2">
      <c r="A94" s="325">
        <f t="shared" si="7"/>
        <v>164</v>
      </c>
      <c r="B94" s="336" t="str">
        <f>IF(C94=1,"",LOOKUP(C94,Cities!A$3:A$343,Cities!C$3:C$343))</f>
        <v/>
      </c>
      <c r="C94" s="338">
        <f t="shared" si="8"/>
        <v>1</v>
      </c>
      <c r="D94" s="337">
        <f t="shared" si="8"/>
        <v>0</v>
      </c>
      <c r="E94" s="812">
        <f>ROUND('Print Return'!$L$37*'Overflow (4)'!M40,0)</f>
        <v>0</v>
      </c>
      <c r="F94" s="955"/>
      <c r="G94" s="1524"/>
      <c r="H94" s="1524"/>
      <c r="I94" s="1525">
        <f>IF(Data!D$33=TRUE,'Overflows Worksheet'!K182,'Overflows Worksheet'!T182)</f>
        <v>0</v>
      </c>
      <c r="J94" s="1525"/>
      <c r="K94" s="853">
        <f>LOOKUP(C40,Cities!A$3:A$343,Cities!D$3:D$343)</f>
        <v>0</v>
      </c>
      <c r="L94" s="1522">
        <f t="shared" si="4"/>
        <v>0</v>
      </c>
      <c r="M94" s="1523"/>
      <c r="N94" s="339">
        <f>LOOKUP($C40,Cities!$A$3:$A$356,Cities!$V$3:$V$356)</f>
        <v>0</v>
      </c>
      <c r="O94" s="936" t="str">
        <f t="shared" si="5"/>
        <v/>
      </c>
      <c r="P94" s="785"/>
      <c r="Q94" s="785">
        <f t="shared" si="6"/>
        <v>0</v>
      </c>
      <c r="R94" s="171"/>
    </row>
    <row r="95" spans="1:18" ht="15" x14ac:dyDescent="0.2">
      <c r="A95" s="325">
        <f t="shared" si="7"/>
        <v>165</v>
      </c>
      <c r="B95" s="336" t="str">
        <f>IF(C95=1,"",LOOKUP(C95,Cities!A$3:A$343,Cities!C$3:C$343))</f>
        <v/>
      </c>
      <c r="C95" s="338">
        <f t="shared" si="8"/>
        <v>1</v>
      </c>
      <c r="D95" s="337">
        <f t="shared" si="8"/>
        <v>0</v>
      </c>
      <c r="E95" s="812">
        <f>ROUND('Print Return'!$L$37*'Overflow (4)'!M41,0)</f>
        <v>0</v>
      </c>
      <c r="F95" s="955"/>
      <c r="G95" s="1524"/>
      <c r="H95" s="1524"/>
      <c r="I95" s="1525">
        <f>IF(Data!D$33=TRUE,'Overflows Worksheet'!K183,'Overflows Worksheet'!T183)</f>
        <v>0</v>
      </c>
      <c r="J95" s="1525"/>
      <c r="K95" s="853">
        <f>LOOKUP(C41,Cities!A$3:A$343,Cities!D$3:D$343)</f>
        <v>0</v>
      </c>
      <c r="L95" s="1522">
        <f t="shared" si="4"/>
        <v>0</v>
      </c>
      <c r="M95" s="1523"/>
      <c r="N95" s="339">
        <f>LOOKUP($C41,Cities!$A$3:$A$356,Cities!$V$3:$V$356)</f>
        <v>0</v>
      </c>
      <c r="O95" s="936" t="str">
        <f t="shared" si="5"/>
        <v/>
      </c>
      <c r="P95" s="785"/>
      <c r="Q95" s="785">
        <f t="shared" si="6"/>
        <v>0</v>
      </c>
      <c r="R95" s="171"/>
    </row>
    <row r="96" spans="1:18" ht="15" x14ac:dyDescent="0.2">
      <c r="A96" s="325">
        <f t="shared" si="7"/>
        <v>166</v>
      </c>
      <c r="B96" s="336" t="str">
        <f>IF(C96=1,"",LOOKUP(C96,Cities!A$3:A$343,Cities!C$3:C$343))</f>
        <v/>
      </c>
      <c r="C96" s="338">
        <f t="shared" si="8"/>
        <v>1</v>
      </c>
      <c r="D96" s="337">
        <f t="shared" si="8"/>
        <v>0</v>
      </c>
      <c r="E96" s="812">
        <f>ROUND('Print Return'!$L$37*'Overflow (4)'!M42,0)</f>
        <v>0</v>
      </c>
      <c r="F96" s="955"/>
      <c r="G96" s="1524"/>
      <c r="H96" s="1524"/>
      <c r="I96" s="1525">
        <f>IF(Data!D$33=TRUE,'Overflows Worksheet'!K184,'Overflows Worksheet'!T184)</f>
        <v>0</v>
      </c>
      <c r="J96" s="1525"/>
      <c r="K96" s="853">
        <f>LOOKUP(C42,Cities!A$3:A$343,Cities!D$3:D$343)</f>
        <v>0</v>
      </c>
      <c r="L96" s="1522">
        <f t="shared" si="4"/>
        <v>0</v>
      </c>
      <c r="M96" s="1523"/>
      <c r="N96" s="339">
        <f>LOOKUP($C42,Cities!$A$3:$A$356,Cities!$V$3:$V$356)</f>
        <v>0</v>
      </c>
      <c r="O96" s="936" t="str">
        <f t="shared" si="5"/>
        <v/>
      </c>
      <c r="P96" s="785"/>
      <c r="Q96" s="785">
        <f t="shared" si="6"/>
        <v>0</v>
      </c>
      <c r="R96" s="171"/>
    </row>
    <row r="97" spans="1:18" ht="15" x14ac:dyDescent="0.2">
      <c r="A97" s="325">
        <f t="shared" si="7"/>
        <v>167</v>
      </c>
      <c r="B97" s="336" t="str">
        <f>IF(C97=1,"",LOOKUP(C97,Cities!A$3:A$343,Cities!C$3:C$343))</f>
        <v/>
      </c>
      <c r="C97" s="338">
        <f t="shared" si="8"/>
        <v>1</v>
      </c>
      <c r="D97" s="337">
        <f t="shared" si="8"/>
        <v>0</v>
      </c>
      <c r="E97" s="812">
        <f>ROUND('Print Return'!$L$37*'Overflow (4)'!M43,0)</f>
        <v>0</v>
      </c>
      <c r="F97" s="955"/>
      <c r="G97" s="1524"/>
      <c r="H97" s="1524"/>
      <c r="I97" s="1525">
        <f>IF(Data!D$33=TRUE,'Overflows Worksheet'!K185,'Overflows Worksheet'!T185)</f>
        <v>0</v>
      </c>
      <c r="J97" s="1525"/>
      <c r="K97" s="853">
        <f>LOOKUP(C43,Cities!A$3:A$343,Cities!D$3:D$343)</f>
        <v>0</v>
      </c>
      <c r="L97" s="1522">
        <f t="shared" si="4"/>
        <v>0</v>
      </c>
      <c r="M97" s="1523"/>
      <c r="N97" s="339">
        <f>LOOKUP($C43,Cities!$A$3:$A$356,Cities!$V$3:$V$356)</f>
        <v>0</v>
      </c>
      <c r="O97" s="936" t="str">
        <f t="shared" si="5"/>
        <v/>
      </c>
      <c r="P97" s="785"/>
      <c r="Q97" s="785">
        <f t="shared" si="6"/>
        <v>0</v>
      </c>
      <c r="R97" s="171"/>
    </row>
    <row r="98" spans="1:18" ht="15" x14ac:dyDescent="0.2">
      <c r="A98" s="325">
        <f t="shared" si="7"/>
        <v>168</v>
      </c>
      <c r="B98" s="336" t="str">
        <f>IF(C98=1,"",LOOKUP(C98,Cities!A$3:A$343,Cities!C$3:C$343))</f>
        <v/>
      </c>
      <c r="C98" s="338">
        <f t="shared" ref="C98:D110" si="9">+C44</f>
        <v>1</v>
      </c>
      <c r="D98" s="337">
        <f t="shared" si="9"/>
        <v>0</v>
      </c>
      <c r="E98" s="812">
        <f>ROUND('Print Return'!$L$37*'Overflow (4)'!M44,0)</f>
        <v>0</v>
      </c>
      <c r="F98" s="955"/>
      <c r="G98" s="1524"/>
      <c r="H98" s="1524"/>
      <c r="I98" s="1525">
        <f>IF(Data!D$33=TRUE,'Overflows Worksheet'!K186,'Overflows Worksheet'!T186)</f>
        <v>0</v>
      </c>
      <c r="J98" s="1525"/>
      <c r="K98" s="853">
        <f>LOOKUP(C44,Cities!A$3:A$343,Cities!D$3:D$343)</f>
        <v>0</v>
      </c>
      <c r="L98" s="1522">
        <f t="shared" si="4"/>
        <v>0</v>
      </c>
      <c r="M98" s="1523"/>
      <c r="N98" s="339">
        <f>LOOKUP($C44,Cities!$A$3:$A$356,Cities!$V$3:$V$356)</f>
        <v>0</v>
      </c>
      <c r="O98" s="936" t="str">
        <f t="shared" si="5"/>
        <v/>
      </c>
      <c r="P98" s="785"/>
      <c r="Q98" s="785">
        <f t="shared" si="6"/>
        <v>0</v>
      </c>
      <c r="R98" s="171"/>
    </row>
    <row r="99" spans="1:18" ht="15" x14ac:dyDescent="0.2">
      <c r="A99" s="325">
        <f t="shared" si="7"/>
        <v>169</v>
      </c>
      <c r="B99" s="336" t="str">
        <f>IF(C99=1,"",LOOKUP(C99,Cities!A$3:A$343,Cities!C$3:C$343))</f>
        <v/>
      </c>
      <c r="C99" s="338">
        <f t="shared" si="9"/>
        <v>1</v>
      </c>
      <c r="D99" s="337">
        <f t="shared" si="9"/>
        <v>0</v>
      </c>
      <c r="E99" s="812">
        <f>ROUND('Print Return'!$L$37*'Overflow (4)'!M45,0)</f>
        <v>0</v>
      </c>
      <c r="F99" s="955"/>
      <c r="G99" s="1524"/>
      <c r="H99" s="1524"/>
      <c r="I99" s="1525">
        <f>IF(Data!D$33=TRUE,'Overflows Worksheet'!K187,'Overflows Worksheet'!T187)</f>
        <v>0</v>
      </c>
      <c r="J99" s="1525"/>
      <c r="K99" s="853">
        <f>LOOKUP(C45,Cities!A$3:A$343,Cities!D$3:D$343)</f>
        <v>0</v>
      </c>
      <c r="L99" s="1522">
        <f t="shared" si="4"/>
        <v>0</v>
      </c>
      <c r="M99" s="1523"/>
      <c r="N99" s="339">
        <f>LOOKUP($C45,Cities!$A$3:$A$356,Cities!$V$3:$V$356)</f>
        <v>0</v>
      </c>
      <c r="O99" s="936" t="str">
        <f t="shared" si="5"/>
        <v/>
      </c>
      <c r="P99" s="785"/>
      <c r="Q99" s="785">
        <f t="shared" si="6"/>
        <v>0</v>
      </c>
      <c r="R99" s="171"/>
    </row>
    <row r="100" spans="1:18" ht="15" x14ac:dyDescent="0.2">
      <c r="A100" s="325">
        <f t="shared" si="7"/>
        <v>170</v>
      </c>
      <c r="B100" s="336" t="str">
        <f>IF(C100=1,"",LOOKUP(C100,Cities!A$3:A$343,Cities!C$3:C$343))</f>
        <v/>
      </c>
      <c r="C100" s="338">
        <f t="shared" si="9"/>
        <v>1</v>
      </c>
      <c r="D100" s="337">
        <f t="shared" si="9"/>
        <v>0</v>
      </c>
      <c r="E100" s="812">
        <f>ROUND('Print Return'!$L$37*'Overflow (4)'!M46,0)</f>
        <v>0</v>
      </c>
      <c r="F100" s="955"/>
      <c r="G100" s="1524"/>
      <c r="H100" s="1524"/>
      <c r="I100" s="1525">
        <f>IF(Data!D$33=TRUE,'Overflows Worksheet'!K188,'Overflows Worksheet'!T188)</f>
        <v>0</v>
      </c>
      <c r="J100" s="1525"/>
      <c r="K100" s="853">
        <f>LOOKUP(C46,Cities!A$3:A$343,Cities!D$3:D$343)</f>
        <v>0</v>
      </c>
      <c r="L100" s="1522">
        <f t="shared" si="4"/>
        <v>0</v>
      </c>
      <c r="M100" s="1523"/>
      <c r="N100" s="339">
        <f>LOOKUP($C46,Cities!$A$3:$A$356,Cities!$V$3:$V$356)</f>
        <v>0</v>
      </c>
      <c r="O100" s="936" t="str">
        <f t="shared" si="5"/>
        <v/>
      </c>
      <c r="P100" s="785"/>
      <c r="Q100" s="785">
        <f t="shared" si="6"/>
        <v>0</v>
      </c>
      <c r="R100" s="171"/>
    </row>
    <row r="101" spans="1:18" ht="15" x14ac:dyDescent="0.2">
      <c r="A101" s="325">
        <f t="shared" si="7"/>
        <v>171</v>
      </c>
      <c r="B101" s="336" t="str">
        <f>IF(C101=1,"",LOOKUP(C101,Cities!A$3:A$343,Cities!C$3:C$343))</f>
        <v/>
      </c>
      <c r="C101" s="338">
        <f t="shared" si="9"/>
        <v>1</v>
      </c>
      <c r="D101" s="337">
        <f t="shared" si="9"/>
        <v>0</v>
      </c>
      <c r="E101" s="812">
        <f>ROUND('Print Return'!$L$37*'Overflow (4)'!M47,0)</f>
        <v>0</v>
      </c>
      <c r="F101" s="955"/>
      <c r="G101" s="1524"/>
      <c r="H101" s="1524"/>
      <c r="I101" s="1525">
        <f>IF(Data!D$33=TRUE,'Overflows Worksheet'!K189,'Overflows Worksheet'!T189)</f>
        <v>0</v>
      </c>
      <c r="J101" s="1525"/>
      <c r="K101" s="853">
        <f>LOOKUP(C47,Cities!A$3:A$343,Cities!D$3:D$343)</f>
        <v>0</v>
      </c>
      <c r="L101" s="1522">
        <f t="shared" si="4"/>
        <v>0</v>
      </c>
      <c r="M101" s="1523"/>
      <c r="N101" s="339">
        <f>LOOKUP($C47,Cities!$A$3:$A$356,Cities!$V$3:$V$356)</f>
        <v>0</v>
      </c>
      <c r="O101" s="936" t="str">
        <f t="shared" si="5"/>
        <v/>
      </c>
      <c r="P101" s="785"/>
      <c r="Q101" s="785">
        <f t="shared" si="6"/>
        <v>0</v>
      </c>
      <c r="R101" s="171"/>
    </row>
    <row r="102" spans="1:18" ht="15" x14ac:dyDescent="0.2">
      <c r="A102" s="325">
        <f t="shared" si="7"/>
        <v>172</v>
      </c>
      <c r="B102" s="336" t="str">
        <f>IF(C102=1,"",LOOKUP(C102,Cities!A$3:A$343,Cities!C$3:C$343))</f>
        <v/>
      </c>
      <c r="C102" s="338">
        <f t="shared" si="9"/>
        <v>1</v>
      </c>
      <c r="D102" s="337">
        <f t="shared" si="9"/>
        <v>0</v>
      </c>
      <c r="E102" s="812">
        <f>ROUND('Print Return'!$L$37*'Overflow (4)'!M48,0)</f>
        <v>0</v>
      </c>
      <c r="F102" s="955"/>
      <c r="G102" s="1524"/>
      <c r="H102" s="1524"/>
      <c r="I102" s="1525">
        <f>IF(Data!D$33=TRUE,'Overflows Worksheet'!K190,'Overflows Worksheet'!T190)</f>
        <v>0</v>
      </c>
      <c r="J102" s="1525"/>
      <c r="K102" s="853">
        <f>LOOKUP(C48,Cities!A$3:A$343,Cities!D$3:D$343)</f>
        <v>0</v>
      </c>
      <c r="L102" s="1522">
        <f t="shared" si="4"/>
        <v>0</v>
      </c>
      <c r="M102" s="1523"/>
      <c r="N102" s="339">
        <f>LOOKUP($C48,Cities!$A$3:$A$356,Cities!$V$3:$V$356)</f>
        <v>0</v>
      </c>
      <c r="O102" s="936" t="str">
        <f t="shared" si="5"/>
        <v/>
      </c>
      <c r="P102" s="785"/>
      <c r="Q102" s="785">
        <f t="shared" si="6"/>
        <v>0</v>
      </c>
      <c r="R102" s="171"/>
    </row>
    <row r="103" spans="1:18" ht="15" x14ac:dyDescent="0.2">
      <c r="A103" s="325">
        <f t="shared" si="7"/>
        <v>173</v>
      </c>
      <c r="B103" s="336" t="str">
        <f>IF(C103=1,"",LOOKUP(C103,Cities!A$3:A$343,Cities!C$3:C$343))</f>
        <v/>
      </c>
      <c r="C103" s="338">
        <f t="shared" si="9"/>
        <v>1</v>
      </c>
      <c r="D103" s="337">
        <f t="shared" si="9"/>
        <v>0</v>
      </c>
      <c r="E103" s="812">
        <f>ROUND('Print Return'!$L$37*'Overflow (4)'!M49,0)</f>
        <v>0</v>
      </c>
      <c r="F103" s="955"/>
      <c r="G103" s="1524"/>
      <c r="H103" s="1524"/>
      <c r="I103" s="1525">
        <f>IF(Data!D$33=TRUE,'Overflows Worksheet'!K191,'Overflows Worksheet'!T191)</f>
        <v>0</v>
      </c>
      <c r="J103" s="1525"/>
      <c r="K103" s="853">
        <f>LOOKUP(C49,Cities!A$3:A$343,Cities!D$3:D$343)</f>
        <v>0</v>
      </c>
      <c r="L103" s="1522">
        <f t="shared" si="4"/>
        <v>0</v>
      </c>
      <c r="M103" s="1523"/>
      <c r="N103" s="339">
        <f>LOOKUP($C49,Cities!$A$3:$A$356,Cities!$V$3:$V$356)</f>
        <v>0</v>
      </c>
      <c r="O103" s="936" t="str">
        <f t="shared" si="5"/>
        <v/>
      </c>
      <c r="P103" s="785"/>
      <c r="Q103" s="785">
        <f t="shared" si="6"/>
        <v>0</v>
      </c>
      <c r="R103" s="171"/>
    </row>
    <row r="104" spans="1:18" ht="15" x14ac:dyDescent="0.2">
      <c r="A104" s="325">
        <f t="shared" si="7"/>
        <v>174</v>
      </c>
      <c r="B104" s="336" t="str">
        <f>IF(C104=1,"",LOOKUP(C104,Cities!A$3:A$343,Cities!C$3:C$343))</f>
        <v/>
      </c>
      <c r="C104" s="338">
        <f t="shared" si="9"/>
        <v>1</v>
      </c>
      <c r="D104" s="337">
        <f t="shared" si="9"/>
        <v>0</v>
      </c>
      <c r="E104" s="812">
        <f>ROUND('Print Return'!$L$37*'Overflow (4)'!M50,0)</f>
        <v>0</v>
      </c>
      <c r="F104" s="955"/>
      <c r="G104" s="1524"/>
      <c r="H104" s="1524"/>
      <c r="I104" s="1525">
        <f>IF(Data!D$33=TRUE,'Overflows Worksheet'!K192,'Overflows Worksheet'!T192)</f>
        <v>0</v>
      </c>
      <c r="J104" s="1525"/>
      <c r="K104" s="853">
        <f>LOOKUP(C50,Cities!A$3:A$343,Cities!D$3:D$343)</f>
        <v>0</v>
      </c>
      <c r="L104" s="1522">
        <f t="shared" si="4"/>
        <v>0</v>
      </c>
      <c r="M104" s="1523"/>
      <c r="N104" s="339">
        <f>LOOKUP($C50,Cities!$A$3:$A$356,Cities!$V$3:$V$356)</f>
        <v>0</v>
      </c>
      <c r="O104" s="936" t="str">
        <f t="shared" si="5"/>
        <v/>
      </c>
      <c r="P104" s="785"/>
      <c r="Q104" s="785">
        <f t="shared" si="6"/>
        <v>0</v>
      </c>
      <c r="R104" s="171"/>
    </row>
    <row r="105" spans="1:18" ht="15" x14ac:dyDescent="0.2">
      <c r="A105" s="325">
        <f t="shared" si="7"/>
        <v>175</v>
      </c>
      <c r="B105" s="336" t="str">
        <f>IF(C105=1,"",LOOKUP(C105,Cities!A$3:A$343,Cities!C$3:C$343))</f>
        <v/>
      </c>
      <c r="C105" s="338">
        <f t="shared" si="9"/>
        <v>1</v>
      </c>
      <c r="D105" s="337">
        <f t="shared" si="9"/>
        <v>0</v>
      </c>
      <c r="E105" s="812">
        <f>ROUND('Print Return'!$L$37*'Overflow (4)'!M51,0)</f>
        <v>0</v>
      </c>
      <c r="F105" s="955"/>
      <c r="G105" s="1524"/>
      <c r="H105" s="1524"/>
      <c r="I105" s="1525">
        <f>IF(Data!D$33=TRUE,'Overflows Worksheet'!K193,'Overflows Worksheet'!T193)</f>
        <v>0</v>
      </c>
      <c r="J105" s="1525"/>
      <c r="K105" s="853">
        <f>LOOKUP(C51,Cities!A$3:A$343,Cities!D$3:D$343)</f>
        <v>0</v>
      </c>
      <c r="L105" s="1522">
        <f t="shared" si="4"/>
        <v>0</v>
      </c>
      <c r="M105" s="1523"/>
      <c r="N105" s="339">
        <f>LOOKUP($C51,Cities!$A$3:$A$356,Cities!$V$3:$V$356)</f>
        <v>0</v>
      </c>
      <c r="O105" s="936" t="str">
        <f t="shared" si="5"/>
        <v/>
      </c>
      <c r="P105" s="785"/>
      <c r="Q105" s="785">
        <f t="shared" si="6"/>
        <v>0</v>
      </c>
      <c r="R105" s="171"/>
    </row>
    <row r="106" spans="1:18" ht="15" x14ac:dyDescent="0.2">
      <c r="A106" s="325">
        <f t="shared" si="7"/>
        <v>176</v>
      </c>
      <c r="B106" s="336" t="str">
        <f>IF(C106=1,"",LOOKUP(C106,Cities!A$3:A$343,Cities!C$3:C$343))</f>
        <v/>
      </c>
      <c r="C106" s="338">
        <f t="shared" si="9"/>
        <v>1</v>
      </c>
      <c r="D106" s="337">
        <f t="shared" si="9"/>
        <v>0</v>
      </c>
      <c r="E106" s="812">
        <f>ROUND('Print Return'!$L$37*'Overflow (4)'!M52,0)</f>
        <v>0</v>
      </c>
      <c r="F106" s="955"/>
      <c r="G106" s="1524"/>
      <c r="H106" s="1524"/>
      <c r="I106" s="1525">
        <f>IF(Data!D$33=TRUE,'Overflows Worksheet'!K194,'Overflows Worksheet'!T194)</f>
        <v>0</v>
      </c>
      <c r="J106" s="1525"/>
      <c r="K106" s="853">
        <f>LOOKUP(C52,Cities!A$3:A$343,Cities!D$3:D$343)</f>
        <v>0</v>
      </c>
      <c r="L106" s="1522">
        <f t="shared" si="4"/>
        <v>0</v>
      </c>
      <c r="M106" s="1523"/>
      <c r="N106" s="339">
        <f>LOOKUP($C52,Cities!$A$3:$A$356,Cities!$V$3:$V$356)</f>
        <v>0</v>
      </c>
      <c r="O106" s="936" t="str">
        <f t="shared" si="5"/>
        <v/>
      </c>
      <c r="P106" s="785"/>
      <c r="Q106" s="785">
        <f t="shared" si="6"/>
        <v>0</v>
      </c>
      <c r="R106" s="171"/>
    </row>
    <row r="107" spans="1:18" ht="15" x14ac:dyDescent="0.2">
      <c r="A107" s="325">
        <f t="shared" si="7"/>
        <v>177</v>
      </c>
      <c r="B107" s="336" t="str">
        <f>IF(C107=1,"",LOOKUP(C107,Cities!A$3:A$343,Cities!C$3:C$343))</f>
        <v/>
      </c>
      <c r="C107" s="338">
        <f t="shared" si="9"/>
        <v>1</v>
      </c>
      <c r="D107" s="337">
        <f t="shared" si="9"/>
        <v>0</v>
      </c>
      <c r="E107" s="812">
        <f>ROUND('Print Return'!$L$37*'Overflow (4)'!M53,0)</f>
        <v>0</v>
      </c>
      <c r="F107" s="955"/>
      <c r="G107" s="1524"/>
      <c r="H107" s="1524"/>
      <c r="I107" s="1525">
        <f>IF(Data!D$33=TRUE,'Overflows Worksheet'!K195,'Overflows Worksheet'!T195)</f>
        <v>0</v>
      </c>
      <c r="J107" s="1525"/>
      <c r="K107" s="853">
        <f>LOOKUP(C53,Cities!A$3:A$343,Cities!D$3:D$343)</f>
        <v>0</v>
      </c>
      <c r="L107" s="1522">
        <f t="shared" si="4"/>
        <v>0</v>
      </c>
      <c r="M107" s="1523"/>
      <c r="N107" s="339">
        <f>LOOKUP($C53,Cities!$A$3:$A$356,Cities!$V$3:$V$356)</f>
        <v>0</v>
      </c>
      <c r="O107" s="936" t="str">
        <f t="shared" si="5"/>
        <v/>
      </c>
      <c r="P107" s="785"/>
      <c r="Q107" s="785">
        <f t="shared" si="6"/>
        <v>0</v>
      </c>
      <c r="R107" s="171"/>
    </row>
    <row r="108" spans="1:18" ht="15" x14ac:dyDescent="0.2">
      <c r="A108" s="325">
        <f t="shared" si="7"/>
        <v>178</v>
      </c>
      <c r="B108" s="336" t="str">
        <f>IF(C108=1,"",LOOKUP(C108,Cities!A$3:A$343,Cities!C$3:C$343))</f>
        <v/>
      </c>
      <c r="C108" s="338">
        <f t="shared" si="9"/>
        <v>1</v>
      </c>
      <c r="D108" s="337">
        <f t="shared" si="9"/>
        <v>0</v>
      </c>
      <c r="E108" s="812">
        <f>ROUND('Print Return'!$L$37*'Overflow (4)'!M54,0)</f>
        <v>0</v>
      </c>
      <c r="F108" s="955"/>
      <c r="G108" s="1524"/>
      <c r="H108" s="1524"/>
      <c r="I108" s="1525">
        <f>IF(Data!D$33=TRUE,'Overflows Worksheet'!K196,'Overflows Worksheet'!T196)</f>
        <v>0</v>
      </c>
      <c r="J108" s="1525"/>
      <c r="K108" s="853">
        <f>LOOKUP(C54,Cities!A$3:A$343,Cities!D$3:D$343)</f>
        <v>0</v>
      </c>
      <c r="L108" s="1522">
        <f t="shared" si="4"/>
        <v>0</v>
      </c>
      <c r="M108" s="1523"/>
      <c r="N108" s="339">
        <f>LOOKUP($C54,Cities!$A$3:$A$356,Cities!$V$3:$V$356)</f>
        <v>0</v>
      </c>
      <c r="O108" s="936" t="str">
        <f t="shared" si="5"/>
        <v/>
      </c>
      <c r="P108" s="785"/>
      <c r="Q108" s="785">
        <f t="shared" si="6"/>
        <v>0</v>
      </c>
      <c r="R108" s="171"/>
    </row>
    <row r="109" spans="1:18" ht="15" x14ac:dyDescent="0.2">
      <c r="A109" s="325">
        <f t="shared" si="7"/>
        <v>179</v>
      </c>
      <c r="B109" s="336" t="str">
        <f>IF(C109=1,"",LOOKUP(C109,Cities!A$3:A$343,Cities!C$3:C$343))</f>
        <v/>
      </c>
      <c r="C109" s="338">
        <f t="shared" si="9"/>
        <v>1</v>
      </c>
      <c r="D109" s="337">
        <f t="shared" si="9"/>
        <v>0</v>
      </c>
      <c r="E109" s="812">
        <f>ROUND('Print Return'!$L$37*'Overflow (4)'!M55,0)</f>
        <v>0</v>
      </c>
      <c r="F109" s="955"/>
      <c r="G109" s="1524"/>
      <c r="H109" s="1524"/>
      <c r="I109" s="1525">
        <f>IF(Data!D$33=TRUE,'Overflows Worksheet'!K197,'Overflows Worksheet'!T197)</f>
        <v>0</v>
      </c>
      <c r="J109" s="1525"/>
      <c r="K109" s="853">
        <f>LOOKUP(C55,Cities!A$3:A$343,Cities!D$3:D$343)</f>
        <v>0</v>
      </c>
      <c r="L109" s="1522">
        <f t="shared" si="4"/>
        <v>0</v>
      </c>
      <c r="M109" s="1523"/>
      <c r="N109" s="339">
        <f>LOOKUP($C55,Cities!$A$3:$A$356,Cities!$V$3:$V$356)</f>
        <v>0</v>
      </c>
      <c r="O109" s="936" t="str">
        <f t="shared" si="5"/>
        <v/>
      </c>
      <c r="P109" s="785"/>
      <c r="Q109" s="785">
        <f t="shared" si="6"/>
        <v>0</v>
      </c>
      <c r="R109" s="171"/>
    </row>
    <row r="110" spans="1:18" ht="15.75" thickBot="1" x14ac:dyDescent="0.25">
      <c r="A110" s="325">
        <f t="shared" si="7"/>
        <v>180</v>
      </c>
      <c r="B110" s="336" t="str">
        <f>IF(C110=1,"",LOOKUP(C110,Cities!A$3:A$343,Cities!C$3:C$343))</f>
        <v/>
      </c>
      <c r="C110" s="338">
        <f t="shared" si="9"/>
        <v>1</v>
      </c>
      <c r="D110" s="337">
        <f t="shared" si="9"/>
        <v>0</v>
      </c>
      <c r="E110" s="814">
        <f>ROUND('Print Return'!$L$37*'Overflow (4)'!M56,0)</f>
        <v>0</v>
      </c>
      <c r="F110" s="956"/>
      <c r="G110" s="1564"/>
      <c r="H110" s="1564"/>
      <c r="I110" s="1525">
        <f>IF(Data!D$33=TRUE,'Overflows Worksheet'!K198,'Overflows Worksheet'!T198)</f>
        <v>0</v>
      </c>
      <c r="J110" s="1525"/>
      <c r="K110" s="854">
        <f>LOOKUP(C56,Cities!A$3:A$343,Cities!D$3:D$343)</f>
        <v>0</v>
      </c>
      <c r="L110" s="1562">
        <f t="shared" si="4"/>
        <v>0</v>
      </c>
      <c r="M110" s="1563"/>
      <c r="N110" s="339">
        <f>LOOKUP($C56,Cities!$A$3:$A$356,Cities!$V$3:$V$356)</f>
        <v>0</v>
      </c>
      <c r="O110" s="936" t="str">
        <f t="shared" si="5"/>
        <v/>
      </c>
      <c r="P110" s="785"/>
      <c r="Q110" s="785">
        <f t="shared" si="6"/>
        <v>0</v>
      </c>
      <c r="R110" s="171"/>
    </row>
    <row r="111" spans="1:18" ht="15" x14ac:dyDescent="0.2">
      <c r="B111" s="6" t="s">
        <v>1791</v>
      </c>
      <c r="C111" s="6"/>
      <c r="D111" s="6"/>
      <c r="E111" s="813">
        <f>SUM(E66:E110)</f>
        <v>0</v>
      </c>
      <c r="F111" s="958">
        <f>SUM(F66:F110)</f>
        <v>0</v>
      </c>
      <c r="G111" s="1561">
        <f>SUM(G66:G110)</f>
        <v>0</v>
      </c>
      <c r="H111" s="1561"/>
      <c r="I111" s="1566">
        <f>SUM(I66:I110)</f>
        <v>0</v>
      </c>
      <c r="J111" s="1566"/>
      <c r="K111" s="855"/>
      <c r="L111" s="1561">
        <f>SUM(L66:L110)</f>
        <v>0</v>
      </c>
      <c r="M111" s="1561"/>
      <c r="O111" s="786"/>
      <c r="P111" s="171"/>
      <c r="Q111" s="785">
        <f>SUM(Q66:Q110)</f>
        <v>0</v>
      </c>
      <c r="R111" s="171"/>
    </row>
    <row r="112" spans="1:18" s="6" customFormat="1" ht="15" x14ac:dyDescent="0.2">
      <c r="O112" s="850"/>
      <c r="P112" s="602"/>
      <c r="Q112" s="602"/>
      <c r="R112" s="602"/>
    </row>
  </sheetData>
  <sheetProtection algorithmName="SHA-512" hashValue="RQ2l0bz7RJ4mNFjdLA4WugbrsAxD15GGCCi+rpBFaY+cmdnUXyltfa9DA5ndPAEWhA7YIuWo5GdRtlP+1KxxZQ==" saltValue="cTPv8y+5gM1gGhuhu+k1LA==" spinCount="100000" sheet="1" objects="1" scenarios="1"/>
  <mergeCells count="171">
    <mergeCell ref="G110:H110"/>
    <mergeCell ref="I110:J110"/>
    <mergeCell ref="L110:M110"/>
    <mergeCell ref="G111:H111"/>
    <mergeCell ref="I111:J111"/>
    <mergeCell ref="L111:M111"/>
    <mergeCell ref="G108:H108"/>
    <mergeCell ref="I108:J108"/>
    <mergeCell ref="L108:M108"/>
    <mergeCell ref="G109:H109"/>
    <mergeCell ref="I109:J109"/>
    <mergeCell ref="L109:M109"/>
    <mergeCell ref="G106:H106"/>
    <mergeCell ref="I106:J106"/>
    <mergeCell ref="L106:M106"/>
    <mergeCell ref="G107:H107"/>
    <mergeCell ref="I107:J107"/>
    <mergeCell ref="L107:M107"/>
    <mergeCell ref="G104:H104"/>
    <mergeCell ref="I104:J104"/>
    <mergeCell ref="L104:M104"/>
    <mergeCell ref="G105:H105"/>
    <mergeCell ref="I105:J105"/>
    <mergeCell ref="L105:M105"/>
    <mergeCell ref="G102:H102"/>
    <mergeCell ref="I102:J102"/>
    <mergeCell ref="L102:M102"/>
    <mergeCell ref="G103:H103"/>
    <mergeCell ref="I103:J103"/>
    <mergeCell ref="L103:M103"/>
    <mergeCell ref="G100:H100"/>
    <mergeCell ref="I100:J100"/>
    <mergeCell ref="L100:M100"/>
    <mergeCell ref="G101:H101"/>
    <mergeCell ref="I101:J101"/>
    <mergeCell ref="L101:M101"/>
    <mergeCell ref="G98:H98"/>
    <mergeCell ref="I98:J98"/>
    <mergeCell ref="L98:M98"/>
    <mergeCell ref="G99:H99"/>
    <mergeCell ref="I99:J99"/>
    <mergeCell ref="L99:M99"/>
    <mergeCell ref="G96:H96"/>
    <mergeCell ref="I96:J96"/>
    <mergeCell ref="L96:M96"/>
    <mergeCell ref="G97:H97"/>
    <mergeCell ref="I97:J97"/>
    <mergeCell ref="L97:M97"/>
    <mergeCell ref="G94:H94"/>
    <mergeCell ref="I94:J94"/>
    <mergeCell ref="L94:M94"/>
    <mergeCell ref="G95:H95"/>
    <mergeCell ref="I95:J95"/>
    <mergeCell ref="L95:M95"/>
    <mergeCell ref="G92:H92"/>
    <mergeCell ref="I92:J92"/>
    <mergeCell ref="L92:M92"/>
    <mergeCell ref="G93:H93"/>
    <mergeCell ref="I93:J93"/>
    <mergeCell ref="L93:M93"/>
    <mergeCell ref="G90:H90"/>
    <mergeCell ref="I90:J90"/>
    <mergeCell ref="L90:M90"/>
    <mergeCell ref="G91:H91"/>
    <mergeCell ref="I91:J91"/>
    <mergeCell ref="L91:M91"/>
    <mergeCell ref="G88:H88"/>
    <mergeCell ref="I88:J88"/>
    <mergeCell ref="L88:M88"/>
    <mergeCell ref="G89:H89"/>
    <mergeCell ref="I89:J89"/>
    <mergeCell ref="L89:M89"/>
    <mergeCell ref="G86:H86"/>
    <mergeCell ref="I86:J86"/>
    <mergeCell ref="L86:M86"/>
    <mergeCell ref="G87:H87"/>
    <mergeCell ref="I87:J87"/>
    <mergeCell ref="L87:M87"/>
    <mergeCell ref="G84:H84"/>
    <mergeCell ref="I84:J84"/>
    <mergeCell ref="L84:M84"/>
    <mergeCell ref="G85:H85"/>
    <mergeCell ref="I85:J85"/>
    <mergeCell ref="L85:M85"/>
    <mergeCell ref="G82:H82"/>
    <mergeCell ref="I82:J82"/>
    <mergeCell ref="L82:M82"/>
    <mergeCell ref="G83:H83"/>
    <mergeCell ref="I83:J83"/>
    <mergeCell ref="L83:M83"/>
    <mergeCell ref="G80:H80"/>
    <mergeCell ref="I80:J80"/>
    <mergeCell ref="L80:M80"/>
    <mergeCell ref="G81:H81"/>
    <mergeCell ref="I81:J81"/>
    <mergeCell ref="L81:M81"/>
    <mergeCell ref="G78:H78"/>
    <mergeCell ref="I78:J78"/>
    <mergeCell ref="L78:M78"/>
    <mergeCell ref="G79:H79"/>
    <mergeCell ref="I79:J79"/>
    <mergeCell ref="L79:M79"/>
    <mergeCell ref="G76:H76"/>
    <mergeCell ref="I76:J76"/>
    <mergeCell ref="L76:M76"/>
    <mergeCell ref="G77:H77"/>
    <mergeCell ref="I77:J77"/>
    <mergeCell ref="L77:M77"/>
    <mergeCell ref="G74:H74"/>
    <mergeCell ref="I74:J74"/>
    <mergeCell ref="L74:M74"/>
    <mergeCell ref="G75:H75"/>
    <mergeCell ref="I75:J75"/>
    <mergeCell ref="L75:M75"/>
    <mergeCell ref="G72:H72"/>
    <mergeCell ref="I72:J72"/>
    <mergeCell ref="L72:M72"/>
    <mergeCell ref="G73:H73"/>
    <mergeCell ref="I73:J73"/>
    <mergeCell ref="L73:M73"/>
    <mergeCell ref="G70:H70"/>
    <mergeCell ref="I70:J70"/>
    <mergeCell ref="L70:M70"/>
    <mergeCell ref="G71:H71"/>
    <mergeCell ref="I71:J71"/>
    <mergeCell ref="L71:M71"/>
    <mergeCell ref="G68:H68"/>
    <mergeCell ref="I68:J68"/>
    <mergeCell ref="L68:M68"/>
    <mergeCell ref="G69:H69"/>
    <mergeCell ref="I69:J69"/>
    <mergeCell ref="L69:M69"/>
    <mergeCell ref="O64:O65"/>
    <mergeCell ref="L65:M65"/>
    <mergeCell ref="G66:H66"/>
    <mergeCell ref="I66:J66"/>
    <mergeCell ref="L66:M66"/>
    <mergeCell ref="G67:H67"/>
    <mergeCell ref="I67:J67"/>
    <mergeCell ref="L67:M67"/>
    <mergeCell ref="B62:J62"/>
    <mergeCell ref="K62:M62"/>
    <mergeCell ref="D64:D65"/>
    <mergeCell ref="E64:E65"/>
    <mergeCell ref="F64:F65"/>
    <mergeCell ref="G64:H65"/>
    <mergeCell ref="I64:J65"/>
    <mergeCell ref="L64:M64"/>
    <mergeCell ref="D10:D11"/>
    <mergeCell ref="E10:H10"/>
    <mergeCell ref="I10:J10"/>
    <mergeCell ref="K10:L10"/>
    <mergeCell ref="K58:K59"/>
    <mergeCell ref="A59:B59"/>
    <mergeCell ref="D59:J60"/>
    <mergeCell ref="L59:M59"/>
    <mergeCell ref="A60:B60"/>
    <mergeCell ref="L60:M60"/>
    <mergeCell ref="B6:B8"/>
    <mergeCell ref="E6:F6"/>
    <mergeCell ref="I6:J6"/>
    <mergeCell ref="E7:F7"/>
    <mergeCell ref="E8:F8"/>
    <mergeCell ref="I8:J8"/>
    <mergeCell ref="A1:B1"/>
    <mergeCell ref="D1:K2"/>
    <mergeCell ref="L1:M1"/>
    <mergeCell ref="A2:B2"/>
    <mergeCell ref="L2:M2"/>
    <mergeCell ref="B4:J4"/>
    <mergeCell ref="K4:M4"/>
  </mergeCells>
  <conditionalFormatting sqref="G66:H110">
    <cfRule type="expression" dxfId="22" priority="3" stopIfTrue="1">
      <formula>$N66=0</formula>
    </cfRule>
  </conditionalFormatting>
  <conditionalFormatting sqref="E66:E110 I66:L110">
    <cfRule type="expression" dxfId="21" priority="4" stopIfTrue="1">
      <formula>$D66=0</formula>
    </cfRule>
  </conditionalFormatting>
  <conditionalFormatting sqref="N66:N110">
    <cfRule type="expression" dxfId="20" priority="5" stopIfTrue="1">
      <formula>"LOOKUP(C12,Cities!$A$3:$A$169,Cities!$L$3:$L$169)=0"</formula>
    </cfRule>
  </conditionalFormatting>
  <pageMargins left="0.5" right="0.5" top="0.5" bottom="0.5" header="0.5" footer="0.5"/>
  <pageSetup scale="75" orientation="portrait" r:id="rId1"/>
  <headerFooter alignWithMargins="0"/>
  <rowBreaks count="1" manualBreakCount="1">
    <brk id="5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1265" r:id="rId4" name="Drop Down 1">
              <controlPr defaultSize="0" autoLine="0" autoPict="0">
                <anchor moveWithCells="1">
                  <from>
                    <xdr:col>1</xdr:col>
                    <xdr:colOff>9525</xdr:colOff>
                    <xdr:row>11</xdr:row>
                    <xdr:rowOff>9525</xdr:rowOff>
                  </from>
                  <to>
                    <xdr:col>1</xdr:col>
                    <xdr:colOff>1924050</xdr:colOff>
                    <xdr:row>11</xdr:row>
                    <xdr:rowOff>209550</xdr:rowOff>
                  </to>
                </anchor>
              </controlPr>
            </control>
          </mc:Choice>
        </mc:AlternateContent>
        <mc:AlternateContent xmlns:mc="http://schemas.openxmlformats.org/markup-compatibility/2006">
          <mc:Choice Requires="x14">
            <control shapeId="11266" r:id="rId5" name="Drop Down 2">
              <controlPr defaultSize="0" autoLine="0" autoPict="0">
                <anchor moveWithCells="1">
                  <from>
                    <xdr:col>1</xdr:col>
                    <xdr:colOff>9525</xdr:colOff>
                    <xdr:row>12</xdr:row>
                    <xdr:rowOff>9525</xdr:rowOff>
                  </from>
                  <to>
                    <xdr:col>1</xdr:col>
                    <xdr:colOff>1924050</xdr:colOff>
                    <xdr:row>12</xdr:row>
                    <xdr:rowOff>209550</xdr:rowOff>
                  </to>
                </anchor>
              </controlPr>
            </control>
          </mc:Choice>
        </mc:AlternateContent>
        <mc:AlternateContent xmlns:mc="http://schemas.openxmlformats.org/markup-compatibility/2006">
          <mc:Choice Requires="x14">
            <control shapeId="11267" r:id="rId6" name="Drop Down 3">
              <controlPr defaultSize="0" autoLine="0" autoPict="0">
                <anchor moveWithCells="1">
                  <from>
                    <xdr:col>1</xdr:col>
                    <xdr:colOff>9525</xdr:colOff>
                    <xdr:row>13</xdr:row>
                    <xdr:rowOff>19050</xdr:rowOff>
                  </from>
                  <to>
                    <xdr:col>1</xdr:col>
                    <xdr:colOff>1924050</xdr:colOff>
                    <xdr:row>13</xdr:row>
                    <xdr:rowOff>219075</xdr:rowOff>
                  </to>
                </anchor>
              </controlPr>
            </control>
          </mc:Choice>
        </mc:AlternateContent>
        <mc:AlternateContent xmlns:mc="http://schemas.openxmlformats.org/markup-compatibility/2006">
          <mc:Choice Requires="x14">
            <control shapeId="11268" r:id="rId7" name="Drop Down 4">
              <controlPr defaultSize="0" autoLine="0" autoPict="0">
                <anchor moveWithCells="1">
                  <from>
                    <xdr:col>1</xdr:col>
                    <xdr:colOff>9525</xdr:colOff>
                    <xdr:row>14</xdr:row>
                    <xdr:rowOff>19050</xdr:rowOff>
                  </from>
                  <to>
                    <xdr:col>1</xdr:col>
                    <xdr:colOff>1924050</xdr:colOff>
                    <xdr:row>14</xdr:row>
                    <xdr:rowOff>219075</xdr:rowOff>
                  </to>
                </anchor>
              </controlPr>
            </control>
          </mc:Choice>
        </mc:AlternateContent>
        <mc:AlternateContent xmlns:mc="http://schemas.openxmlformats.org/markup-compatibility/2006">
          <mc:Choice Requires="x14">
            <control shapeId="11269" r:id="rId8" name="Drop Down 5">
              <controlPr defaultSize="0" autoLine="0" autoPict="0">
                <anchor moveWithCells="1">
                  <from>
                    <xdr:col>1</xdr:col>
                    <xdr:colOff>9525</xdr:colOff>
                    <xdr:row>15</xdr:row>
                    <xdr:rowOff>19050</xdr:rowOff>
                  </from>
                  <to>
                    <xdr:col>1</xdr:col>
                    <xdr:colOff>1924050</xdr:colOff>
                    <xdr:row>15</xdr:row>
                    <xdr:rowOff>219075</xdr:rowOff>
                  </to>
                </anchor>
              </controlPr>
            </control>
          </mc:Choice>
        </mc:AlternateContent>
        <mc:AlternateContent xmlns:mc="http://schemas.openxmlformats.org/markup-compatibility/2006">
          <mc:Choice Requires="x14">
            <control shapeId="11270" r:id="rId9" name="Drop Down 6">
              <controlPr defaultSize="0" autoLine="0" autoPict="0">
                <anchor moveWithCells="1">
                  <from>
                    <xdr:col>1</xdr:col>
                    <xdr:colOff>9525</xdr:colOff>
                    <xdr:row>16</xdr:row>
                    <xdr:rowOff>19050</xdr:rowOff>
                  </from>
                  <to>
                    <xdr:col>1</xdr:col>
                    <xdr:colOff>1924050</xdr:colOff>
                    <xdr:row>16</xdr:row>
                    <xdr:rowOff>219075</xdr:rowOff>
                  </to>
                </anchor>
              </controlPr>
            </control>
          </mc:Choice>
        </mc:AlternateContent>
        <mc:AlternateContent xmlns:mc="http://schemas.openxmlformats.org/markup-compatibility/2006">
          <mc:Choice Requires="x14">
            <control shapeId="11271" r:id="rId10" name="Drop Down 7">
              <controlPr defaultSize="0" autoLine="0" autoPict="0">
                <anchor moveWithCells="1">
                  <from>
                    <xdr:col>1</xdr:col>
                    <xdr:colOff>9525</xdr:colOff>
                    <xdr:row>17</xdr:row>
                    <xdr:rowOff>19050</xdr:rowOff>
                  </from>
                  <to>
                    <xdr:col>1</xdr:col>
                    <xdr:colOff>1924050</xdr:colOff>
                    <xdr:row>17</xdr:row>
                    <xdr:rowOff>219075</xdr:rowOff>
                  </to>
                </anchor>
              </controlPr>
            </control>
          </mc:Choice>
        </mc:AlternateContent>
        <mc:AlternateContent xmlns:mc="http://schemas.openxmlformats.org/markup-compatibility/2006">
          <mc:Choice Requires="x14">
            <control shapeId="11272" r:id="rId11" name="Drop Down 8">
              <controlPr defaultSize="0" autoLine="0" autoPict="0">
                <anchor moveWithCells="1">
                  <from>
                    <xdr:col>1</xdr:col>
                    <xdr:colOff>9525</xdr:colOff>
                    <xdr:row>18</xdr:row>
                    <xdr:rowOff>19050</xdr:rowOff>
                  </from>
                  <to>
                    <xdr:col>1</xdr:col>
                    <xdr:colOff>1924050</xdr:colOff>
                    <xdr:row>18</xdr:row>
                    <xdr:rowOff>219075</xdr:rowOff>
                  </to>
                </anchor>
              </controlPr>
            </control>
          </mc:Choice>
        </mc:AlternateContent>
        <mc:AlternateContent xmlns:mc="http://schemas.openxmlformats.org/markup-compatibility/2006">
          <mc:Choice Requires="x14">
            <control shapeId="11273" r:id="rId12" name="Drop Down 9">
              <controlPr defaultSize="0" autoLine="0" autoPict="0">
                <anchor moveWithCells="1">
                  <from>
                    <xdr:col>1</xdr:col>
                    <xdr:colOff>9525</xdr:colOff>
                    <xdr:row>19</xdr:row>
                    <xdr:rowOff>28575</xdr:rowOff>
                  </from>
                  <to>
                    <xdr:col>1</xdr:col>
                    <xdr:colOff>1924050</xdr:colOff>
                    <xdr:row>20</xdr:row>
                    <xdr:rowOff>0</xdr:rowOff>
                  </to>
                </anchor>
              </controlPr>
            </control>
          </mc:Choice>
        </mc:AlternateContent>
        <mc:AlternateContent xmlns:mc="http://schemas.openxmlformats.org/markup-compatibility/2006">
          <mc:Choice Requires="x14">
            <control shapeId="11274" r:id="rId13" name="Drop Down 10">
              <controlPr defaultSize="0" autoLine="0" autoPict="0">
                <anchor moveWithCells="1">
                  <from>
                    <xdr:col>1</xdr:col>
                    <xdr:colOff>9525</xdr:colOff>
                    <xdr:row>20</xdr:row>
                    <xdr:rowOff>19050</xdr:rowOff>
                  </from>
                  <to>
                    <xdr:col>1</xdr:col>
                    <xdr:colOff>1924050</xdr:colOff>
                    <xdr:row>20</xdr:row>
                    <xdr:rowOff>219075</xdr:rowOff>
                  </to>
                </anchor>
              </controlPr>
            </control>
          </mc:Choice>
        </mc:AlternateContent>
        <mc:AlternateContent xmlns:mc="http://schemas.openxmlformats.org/markup-compatibility/2006">
          <mc:Choice Requires="x14">
            <control shapeId="11275" r:id="rId14" name="Drop Down 11">
              <controlPr defaultSize="0" autoLine="0" autoPict="0">
                <anchor moveWithCells="1">
                  <from>
                    <xdr:col>1</xdr:col>
                    <xdr:colOff>9525</xdr:colOff>
                    <xdr:row>21</xdr:row>
                    <xdr:rowOff>28575</xdr:rowOff>
                  </from>
                  <to>
                    <xdr:col>1</xdr:col>
                    <xdr:colOff>1924050</xdr:colOff>
                    <xdr:row>22</xdr:row>
                    <xdr:rowOff>0</xdr:rowOff>
                  </to>
                </anchor>
              </controlPr>
            </control>
          </mc:Choice>
        </mc:AlternateContent>
        <mc:AlternateContent xmlns:mc="http://schemas.openxmlformats.org/markup-compatibility/2006">
          <mc:Choice Requires="x14">
            <control shapeId="11276" r:id="rId15" name="Drop Down 12">
              <controlPr defaultSize="0" autoLine="0" autoPict="0">
                <anchor moveWithCells="1">
                  <from>
                    <xdr:col>1</xdr:col>
                    <xdr:colOff>9525</xdr:colOff>
                    <xdr:row>22</xdr:row>
                    <xdr:rowOff>28575</xdr:rowOff>
                  </from>
                  <to>
                    <xdr:col>1</xdr:col>
                    <xdr:colOff>1924050</xdr:colOff>
                    <xdr:row>23</xdr:row>
                    <xdr:rowOff>0</xdr:rowOff>
                  </to>
                </anchor>
              </controlPr>
            </control>
          </mc:Choice>
        </mc:AlternateContent>
        <mc:AlternateContent xmlns:mc="http://schemas.openxmlformats.org/markup-compatibility/2006">
          <mc:Choice Requires="x14">
            <control shapeId="11277" r:id="rId16" name="Drop Down 13">
              <controlPr defaultSize="0" autoLine="0" autoPict="0">
                <anchor moveWithCells="1">
                  <from>
                    <xdr:col>1</xdr:col>
                    <xdr:colOff>9525</xdr:colOff>
                    <xdr:row>23</xdr:row>
                    <xdr:rowOff>19050</xdr:rowOff>
                  </from>
                  <to>
                    <xdr:col>1</xdr:col>
                    <xdr:colOff>1924050</xdr:colOff>
                    <xdr:row>23</xdr:row>
                    <xdr:rowOff>219075</xdr:rowOff>
                  </to>
                </anchor>
              </controlPr>
            </control>
          </mc:Choice>
        </mc:AlternateContent>
        <mc:AlternateContent xmlns:mc="http://schemas.openxmlformats.org/markup-compatibility/2006">
          <mc:Choice Requires="x14">
            <control shapeId="11278" r:id="rId17" name="Drop Down 14">
              <controlPr defaultSize="0" autoLine="0" autoPict="0">
                <anchor moveWithCells="1">
                  <from>
                    <xdr:col>1</xdr:col>
                    <xdr:colOff>9525</xdr:colOff>
                    <xdr:row>24</xdr:row>
                    <xdr:rowOff>28575</xdr:rowOff>
                  </from>
                  <to>
                    <xdr:col>1</xdr:col>
                    <xdr:colOff>1924050</xdr:colOff>
                    <xdr:row>25</xdr:row>
                    <xdr:rowOff>0</xdr:rowOff>
                  </to>
                </anchor>
              </controlPr>
            </control>
          </mc:Choice>
        </mc:AlternateContent>
        <mc:AlternateContent xmlns:mc="http://schemas.openxmlformats.org/markup-compatibility/2006">
          <mc:Choice Requires="x14">
            <control shapeId="11279" r:id="rId18" name="Drop Down 15">
              <controlPr defaultSize="0" autoLine="0" autoPict="0">
                <anchor moveWithCells="1">
                  <from>
                    <xdr:col>1</xdr:col>
                    <xdr:colOff>9525</xdr:colOff>
                    <xdr:row>25</xdr:row>
                    <xdr:rowOff>19050</xdr:rowOff>
                  </from>
                  <to>
                    <xdr:col>1</xdr:col>
                    <xdr:colOff>1924050</xdr:colOff>
                    <xdr:row>25</xdr:row>
                    <xdr:rowOff>219075</xdr:rowOff>
                  </to>
                </anchor>
              </controlPr>
            </control>
          </mc:Choice>
        </mc:AlternateContent>
        <mc:AlternateContent xmlns:mc="http://schemas.openxmlformats.org/markup-compatibility/2006">
          <mc:Choice Requires="x14">
            <control shapeId="11280" r:id="rId19" name="Drop Down 16">
              <controlPr defaultSize="0" autoLine="0" autoPict="0">
                <anchor moveWithCells="1">
                  <from>
                    <xdr:col>1</xdr:col>
                    <xdr:colOff>9525</xdr:colOff>
                    <xdr:row>26</xdr:row>
                    <xdr:rowOff>19050</xdr:rowOff>
                  </from>
                  <to>
                    <xdr:col>1</xdr:col>
                    <xdr:colOff>1924050</xdr:colOff>
                    <xdr:row>26</xdr:row>
                    <xdr:rowOff>219075</xdr:rowOff>
                  </to>
                </anchor>
              </controlPr>
            </control>
          </mc:Choice>
        </mc:AlternateContent>
        <mc:AlternateContent xmlns:mc="http://schemas.openxmlformats.org/markup-compatibility/2006">
          <mc:Choice Requires="x14">
            <control shapeId="11281" r:id="rId20" name="Drop Down 17">
              <controlPr defaultSize="0" autoLine="0" autoPict="0">
                <anchor moveWithCells="1">
                  <from>
                    <xdr:col>1</xdr:col>
                    <xdr:colOff>9525</xdr:colOff>
                    <xdr:row>27</xdr:row>
                    <xdr:rowOff>19050</xdr:rowOff>
                  </from>
                  <to>
                    <xdr:col>1</xdr:col>
                    <xdr:colOff>1924050</xdr:colOff>
                    <xdr:row>27</xdr:row>
                    <xdr:rowOff>219075</xdr:rowOff>
                  </to>
                </anchor>
              </controlPr>
            </control>
          </mc:Choice>
        </mc:AlternateContent>
        <mc:AlternateContent xmlns:mc="http://schemas.openxmlformats.org/markup-compatibility/2006">
          <mc:Choice Requires="x14">
            <control shapeId="11282" r:id="rId21" name="Drop Down 18">
              <controlPr defaultSize="0" autoLine="0" autoPict="0">
                <anchor moveWithCells="1">
                  <from>
                    <xdr:col>1</xdr:col>
                    <xdr:colOff>9525</xdr:colOff>
                    <xdr:row>28</xdr:row>
                    <xdr:rowOff>19050</xdr:rowOff>
                  </from>
                  <to>
                    <xdr:col>1</xdr:col>
                    <xdr:colOff>1924050</xdr:colOff>
                    <xdr:row>28</xdr:row>
                    <xdr:rowOff>219075</xdr:rowOff>
                  </to>
                </anchor>
              </controlPr>
            </control>
          </mc:Choice>
        </mc:AlternateContent>
        <mc:AlternateContent xmlns:mc="http://schemas.openxmlformats.org/markup-compatibility/2006">
          <mc:Choice Requires="x14">
            <control shapeId="11283" r:id="rId22" name="Drop Down 19">
              <controlPr defaultSize="0" autoLine="0" autoPict="0">
                <anchor moveWithCells="1">
                  <from>
                    <xdr:col>1</xdr:col>
                    <xdr:colOff>9525</xdr:colOff>
                    <xdr:row>29</xdr:row>
                    <xdr:rowOff>19050</xdr:rowOff>
                  </from>
                  <to>
                    <xdr:col>1</xdr:col>
                    <xdr:colOff>1924050</xdr:colOff>
                    <xdr:row>29</xdr:row>
                    <xdr:rowOff>219075</xdr:rowOff>
                  </to>
                </anchor>
              </controlPr>
            </control>
          </mc:Choice>
        </mc:AlternateContent>
        <mc:AlternateContent xmlns:mc="http://schemas.openxmlformats.org/markup-compatibility/2006">
          <mc:Choice Requires="x14">
            <control shapeId="11284" r:id="rId23" name="Drop Down 20">
              <controlPr defaultSize="0" autoLine="0" autoPict="0">
                <anchor moveWithCells="1">
                  <from>
                    <xdr:col>1</xdr:col>
                    <xdr:colOff>9525</xdr:colOff>
                    <xdr:row>30</xdr:row>
                    <xdr:rowOff>19050</xdr:rowOff>
                  </from>
                  <to>
                    <xdr:col>1</xdr:col>
                    <xdr:colOff>1924050</xdr:colOff>
                    <xdr:row>30</xdr:row>
                    <xdr:rowOff>219075</xdr:rowOff>
                  </to>
                </anchor>
              </controlPr>
            </control>
          </mc:Choice>
        </mc:AlternateContent>
        <mc:AlternateContent xmlns:mc="http://schemas.openxmlformats.org/markup-compatibility/2006">
          <mc:Choice Requires="x14">
            <control shapeId="11285" r:id="rId24" name="Drop Down 21">
              <controlPr defaultSize="0" autoLine="0" autoPict="0">
                <anchor moveWithCells="1">
                  <from>
                    <xdr:col>1</xdr:col>
                    <xdr:colOff>9525</xdr:colOff>
                    <xdr:row>31</xdr:row>
                    <xdr:rowOff>19050</xdr:rowOff>
                  </from>
                  <to>
                    <xdr:col>1</xdr:col>
                    <xdr:colOff>1924050</xdr:colOff>
                    <xdr:row>31</xdr:row>
                    <xdr:rowOff>219075</xdr:rowOff>
                  </to>
                </anchor>
              </controlPr>
            </control>
          </mc:Choice>
        </mc:AlternateContent>
        <mc:AlternateContent xmlns:mc="http://schemas.openxmlformats.org/markup-compatibility/2006">
          <mc:Choice Requires="x14">
            <control shapeId="11286" r:id="rId25" name="Drop Down 22">
              <controlPr defaultSize="0" autoLine="0" autoPict="0">
                <anchor moveWithCells="1">
                  <from>
                    <xdr:col>1</xdr:col>
                    <xdr:colOff>9525</xdr:colOff>
                    <xdr:row>32</xdr:row>
                    <xdr:rowOff>19050</xdr:rowOff>
                  </from>
                  <to>
                    <xdr:col>1</xdr:col>
                    <xdr:colOff>1924050</xdr:colOff>
                    <xdr:row>32</xdr:row>
                    <xdr:rowOff>219075</xdr:rowOff>
                  </to>
                </anchor>
              </controlPr>
            </control>
          </mc:Choice>
        </mc:AlternateContent>
        <mc:AlternateContent xmlns:mc="http://schemas.openxmlformats.org/markup-compatibility/2006">
          <mc:Choice Requires="x14">
            <control shapeId="11287" r:id="rId26" name="Drop Down 23">
              <controlPr defaultSize="0" autoLine="0" autoPict="0">
                <anchor moveWithCells="1">
                  <from>
                    <xdr:col>1</xdr:col>
                    <xdr:colOff>9525</xdr:colOff>
                    <xdr:row>33</xdr:row>
                    <xdr:rowOff>19050</xdr:rowOff>
                  </from>
                  <to>
                    <xdr:col>1</xdr:col>
                    <xdr:colOff>1924050</xdr:colOff>
                    <xdr:row>33</xdr:row>
                    <xdr:rowOff>219075</xdr:rowOff>
                  </to>
                </anchor>
              </controlPr>
            </control>
          </mc:Choice>
        </mc:AlternateContent>
        <mc:AlternateContent xmlns:mc="http://schemas.openxmlformats.org/markup-compatibility/2006">
          <mc:Choice Requires="x14">
            <control shapeId="11288" r:id="rId27" name="Drop Down 24">
              <controlPr defaultSize="0" autoLine="0" autoPict="0">
                <anchor moveWithCells="1">
                  <from>
                    <xdr:col>1</xdr:col>
                    <xdr:colOff>9525</xdr:colOff>
                    <xdr:row>34</xdr:row>
                    <xdr:rowOff>19050</xdr:rowOff>
                  </from>
                  <to>
                    <xdr:col>1</xdr:col>
                    <xdr:colOff>1924050</xdr:colOff>
                    <xdr:row>34</xdr:row>
                    <xdr:rowOff>219075</xdr:rowOff>
                  </to>
                </anchor>
              </controlPr>
            </control>
          </mc:Choice>
        </mc:AlternateContent>
        <mc:AlternateContent xmlns:mc="http://schemas.openxmlformats.org/markup-compatibility/2006">
          <mc:Choice Requires="x14">
            <control shapeId="11289" r:id="rId28" name="Drop Down 25">
              <controlPr defaultSize="0" autoLine="0" autoPict="0">
                <anchor moveWithCells="1">
                  <from>
                    <xdr:col>1</xdr:col>
                    <xdr:colOff>9525</xdr:colOff>
                    <xdr:row>35</xdr:row>
                    <xdr:rowOff>19050</xdr:rowOff>
                  </from>
                  <to>
                    <xdr:col>1</xdr:col>
                    <xdr:colOff>1924050</xdr:colOff>
                    <xdr:row>35</xdr:row>
                    <xdr:rowOff>219075</xdr:rowOff>
                  </to>
                </anchor>
              </controlPr>
            </control>
          </mc:Choice>
        </mc:AlternateContent>
        <mc:AlternateContent xmlns:mc="http://schemas.openxmlformats.org/markup-compatibility/2006">
          <mc:Choice Requires="x14">
            <control shapeId="11290" r:id="rId29" name="Drop Down 26">
              <controlPr defaultSize="0" autoLine="0" autoPict="0">
                <anchor moveWithCells="1">
                  <from>
                    <xdr:col>1</xdr:col>
                    <xdr:colOff>9525</xdr:colOff>
                    <xdr:row>36</xdr:row>
                    <xdr:rowOff>19050</xdr:rowOff>
                  </from>
                  <to>
                    <xdr:col>1</xdr:col>
                    <xdr:colOff>1924050</xdr:colOff>
                    <xdr:row>36</xdr:row>
                    <xdr:rowOff>219075</xdr:rowOff>
                  </to>
                </anchor>
              </controlPr>
            </control>
          </mc:Choice>
        </mc:AlternateContent>
        <mc:AlternateContent xmlns:mc="http://schemas.openxmlformats.org/markup-compatibility/2006">
          <mc:Choice Requires="x14">
            <control shapeId="11291" r:id="rId30" name="Drop Down 27">
              <controlPr defaultSize="0" autoLine="0" autoPict="0">
                <anchor moveWithCells="1">
                  <from>
                    <xdr:col>1</xdr:col>
                    <xdr:colOff>9525</xdr:colOff>
                    <xdr:row>37</xdr:row>
                    <xdr:rowOff>19050</xdr:rowOff>
                  </from>
                  <to>
                    <xdr:col>1</xdr:col>
                    <xdr:colOff>1924050</xdr:colOff>
                    <xdr:row>37</xdr:row>
                    <xdr:rowOff>219075</xdr:rowOff>
                  </to>
                </anchor>
              </controlPr>
            </control>
          </mc:Choice>
        </mc:AlternateContent>
        <mc:AlternateContent xmlns:mc="http://schemas.openxmlformats.org/markup-compatibility/2006">
          <mc:Choice Requires="x14">
            <control shapeId="11292" r:id="rId31" name="Drop Down 28">
              <controlPr defaultSize="0" autoLine="0" autoPict="0">
                <anchor moveWithCells="1">
                  <from>
                    <xdr:col>1</xdr:col>
                    <xdr:colOff>9525</xdr:colOff>
                    <xdr:row>38</xdr:row>
                    <xdr:rowOff>19050</xdr:rowOff>
                  </from>
                  <to>
                    <xdr:col>1</xdr:col>
                    <xdr:colOff>1924050</xdr:colOff>
                    <xdr:row>38</xdr:row>
                    <xdr:rowOff>219075</xdr:rowOff>
                  </to>
                </anchor>
              </controlPr>
            </control>
          </mc:Choice>
        </mc:AlternateContent>
        <mc:AlternateContent xmlns:mc="http://schemas.openxmlformats.org/markup-compatibility/2006">
          <mc:Choice Requires="x14">
            <control shapeId="11293" r:id="rId32" name="Drop Down 29">
              <controlPr defaultSize="0" autoLine="0" autoPict="0">
                <anchor moveWithCells="1">
                  <from>
                    <xdr:col>1</xdr:col>
                    <xdr:colOff>9525</xdr:colOff>
                    <xdr:row>39</xdr:row>
                    <xdr:rowOff>19050</xdr:rowOff>
                  </from>
                  <to>
                    <xdr:col>1</xdr:col>
                    <xdr:colOff>1924050</xdr:colOff>
                    <xdr:row>39</xdr:row>
                    <xdr:rowOff>219075</xdr:rowOff>
                  </to>
                </anchor>
              </controlPr>
            </control>
          </mc:Choice>
        </mc:AlternateContent>
        <mc:AlternateContent xmlns:mc="http://schemas.openxmlformats.org/markup-compatibility/2006">
          <mc:Choice Requires="x14">
            <control shapeId="11294" r:id="rId33" name="Drop Down 30">
              <controlPr defaultSize="0" autoLine="0" autoPict="0">
                <anchor moveWithCells="1">
                  <from>
                    <xdr:col>1</xdr:col>
                    <xdr:colOff>9525</xdr:colOff>
                    <xdr:row>40</xdr:row>
                    <xdr:rowOff>19050</xdr:rowOff>
                  </from>
                  <to>
                    <xdr:col>1</xdr:col>
                    <xdr:colOff>1924050</xdr:colOff>
                    <xdr:row>40</xdr:row>
                    <xdr:rowOff>219075</xdr:rowOff>
                  </to>
                </anchor>
              </controlPr>
            </control>
          </mc:Choice>
        </mc:AlternateContent>
        <mc:AlternateContent xmlns:mc="http://schemas.openxmlformats.org/markup-compatibility/2006">
          <mc:Choice Requires="x14">
            <control shapeId="11295" r:id="rId34" name="Drop Down 31">
              <controlPr defaultSize="0" autoLine="0" autoPict="0">
                <anchor moveWithCells="1">
                  <from>
                    <xdr:col>1</xdr:col>
                    <xdr:colOff>9525</xdr:colOff>
                    <xdr:row>41</xdr:row>
                    <xdr:rowOff>19050</xdr:rowOff>
                  </from>
                  <to>
                    <xdr:col>1</xdr:col>
                    <xdr:colOff>1924050</xdr:colOff>
                    <xdr:row>41</xdr:row>
                    <xdr:rowOff>219075</xdr:rowOff>
                  </to>
                </anchor>
              </controlPr>
            </control>
          </mc:Choice>
        </mc:AlternateContent>
        <mc:AlternateContent xmlns:mc="http://schemas.openxmlformats.org/markup-compatibility/2006">
          <mc:Choice Requires="x14">
            <control shapeId="11296" r:id="rId35" name="Drop Down 32">
              <controlPr defaultSize="0" autoLine="0" autoPict="0">
                <anchor moveWithCells="1">
                  <from>
                    <xdr:col>1</xdr:col>
                    <xdr:colOff>9525</xdr:colOff>
                    <xdr:row>42</xdr:row>
                    <xdr:rowOff>19050</xdr:rowOff>
                  </from>
                  <to>
                    <xdr:col>1</xdr:col>
                    <xdr:colOff>1924050</xdr:colOff>
                    <xdr:row>42</xdr:row>
                    <xdr:rowOff>219075</xdr:rowOff>
                  </to>
                </anchor>
              </controlPr>
            </control>
          </mc:Choice>
        </mc:AlternateContent>
        <mc:AlternateContent xmlns:mc="http://schemas.openxmlformats.org/markup-compatibility/2006">
          <mc:Choice Requires="x14">
            <control shapeId="11297" r:id="rId36" name="Drop Down 33">
              <controlPr defaultSize="0" autoLine="0" autoPict="0">
                <anchor moveWithCells="1">
                  <from>
                    <xdr:col>1</xdr:col>
                    <xdr:colOff>9525</xdr:colOff>
                    <xdr:row>43</xdr:row>
                    <xdr:rowOff>19050</xdr:rowOff>
                  </from>
                  <to>
                    <xdr:col>1</xdr:col>
                    <xdr:colOff>1924050</xdr:colOff>
                    <xdr:row>43</xdr:row>
                    <xdr:rowOff>219075</xdr:rowOff>
                  </to>
                </anchor>
              </controlPr>
            </control>
          </mc:Choice>
        </mc:AlternateContent>
        <mc:AlternateContent xmlns:mc="http://schemas.openxmlformats.org/markup-compatibility/2006">
          <mc:Choice Requires="x14">
            <control shapeId="11298" r:id="rId37" name="Drop Down 34">
              <controlPr defaultSize="0" autoLine="0" autoPict="0">
                <anchor moveWithCells="1">
                  <from>
                    <xdr:col>1</xdr:col>
                    <xdr:colOff>9525</xdr:colOff>
                    <xdr:row>44</xdr:row>
                    <xdr:rowOff>19050</xdr:rowOff>
                  </from>
                  <to>
                    <xdr:col>1</xdr:col>
                    <xdr:colOff>1924050</xdr:colOff>
                    <xdr:row>44</xdr:row>
                    <xdr:rowOff>219075</xdr:rowOff>
                  </to>
                </anchor>
              </controlPr>
            </control>
          </mc:Choice>
        </mc:AlternateContent>
        <mc:AlternateContent xmlns:mc="http://schemas.openxmlformats.org/markup-compatibility/2006">
          <mc:Choice Requires="x14">
            <control shapeId="11299" r:id="rId38" name="Drop Down 35">
              <controlPr defaultSize="0" autoLine="0" autoPict="0">
                <anchor moveWithCells="1">
                  <from>
                    <xdr:col>1</xdr:col>
                    <xdr:colOff>9525</xdr:colOff>
                    <xdr:row>45</xdr:row>
                    <xdr:rowOff>19050</xdr:rowOff>
                  </from>
                  <to>
                    <xdr:col>1</xdr:col>
                    <xdr:colOff>1924050</xdr:colOff>
                    <xdr:row>45</xdr:row>
                    <xdr:rowOff>219075</xdr:rowOff>
                  </to>
                </anchor>
              </controlPr>
            </control>
          </mc:Choice>
        </mc:AlternateContent>
        <mc:AlternateContent xmlns:mc="http://schemas.openxmlformats.org/markup-compatibility/2006">
          <mc:Choice Requires="x14">
            <control shapeId="11300" r:id="rId39" name="Drop Down 36">
              <controlPr defaultSize="0" autoLine="0" autoPict="0">
                <anchor moveWithCells="1">
                  <from>
                    <xdr:col>1</xdr:col>
                    <xdr:colOff>9525</xdr:colOff>
                    <xdr:row>46</xdr:row>
                    <xdr:rowOff>19050</xdr:rowOff>
                  </from>
                  <to>
                    <xdr:col>1</xdr:col>
                    <xdr:colOff>1924050</xdr:colOff>
                    <xdr:row>46</xdr:row>
                    <xdr:rowOff>219075</xdr:rowOff>
                  </to>
                </anchor>
              </controlPr>
            </control>
          </mc:Choice>
        </mc:AlternateContent>
        <mc:AlternateContent xmlns:mc="http://schemas.openxmlformats.org/markup-compatibility/2006">
          <mc:Choice Requires="x14">
            <control shapeId="11301" r:id="rId40" name="Drop Down 37">
              <controlPr defaultSize="0" autoLine="0" autoPict="0">
                <anchor moveWithCells="1">
                  <from>
                    <xdr:col>1</xdr:col>
                    <xdr:colOff>9525</xdr:colOff>
                    <xdr:row>47</xdr:row>
                    <xdr:rowOff>19050</xdr:rowOff>
                  </from>
                  <to>
                    <xdr:col>1</xdr:col>
                    <xdr:colOff>1924050</xdr:colOff>
                    <xdr:row>47</xdr:row>
                    <xdr:rowOff>219075</xdr:rowOff>
                  </to>
                </anchor>
              </controlPr>
            </control>
          </mc:Choice>
        </mc:AlternateContent>
        <mc:AlternateContent xmlns:mc="http://schemas.openxmlformats.org/markup-compatibility/2006">
          <mc:Choice Requires="x14">
            <control shapeId="11302" r:id="rId41" name="Drop Down 38">
              <controlPr defaultSize="0" autoLine="0" autoPict="0">
                <anchor moveWithCells="1">
                  <from>
                    <xdr:col>1</xdr:col>
                    <xdr:colOff>9525</xdr:colOff>
                    <xdr:row>48</xdr:row>
                    <xdr:rowOff>19050</xdr:rowOff>
                  </from>
                  <to>
                    <xdr:col>1</xdr:col>
                    <xdr:colOff>1924050</xdr:colOff>
                    <xdr:row>48</xdr:row>
                    <xdr:rowOff>219075</xdr:rowOff>
                  </to>
                </anchor>
              </controlPr>
            </control>
          </mc:Choice>
        </mc:AlternateContent>
        <mc:AlternateContent xmlns:mc="http://schemas.openxmlformats.org/markup-compatibility/2006">
          <mc:Choice Requires="x14">
            <control shapeId="11303" r:id="rId42" name="Drop Down 39">
              <controlPr defaultSize="0" autoLine="0" autoPict="0">
                <anchor moveWithCells="1">
                  <from>
                    <xdr:col>1</xdr:col>
                    <xdr:colOff>9525</xdr:colOff>
                    <xdr:row>49</xdr:row>
                    <xdr:rowOff>19050</xdr:rowOff>
                  </from>
                  <to>
                    <xdr:col>1</xdr:col>
                    <xdr:colOff>1924050</xdr:colOff>
                    <xdr:row>49</xdr:row>
                    <xdr:rowOff>219075</xdr:rowOff>
                  </to>
                </anchor>
              </controlPr>
            </control>
          </mc:Choice>
        </mc:AlternateContent>
        <mc:AlternateContent xmlns:mc="http://schemas.openxmlformats.org/markup-compatibility/2006">
          <mc:Choice Requires="x14">
            <control shapeId="11304" r:id="rId43" name="Drop Down 40">
              <controlPr defaultSize="0" autoLine="0" autoPict="0">
                <anchor moveWithCells="1">
                  <from>
                    <xdr:col>1</xdr:col>
                    <xdr:colOff>9525</xdr:colOff>
                    <xdr:row>50</xdr:row>
                    <xdr:rowOff>19050</xdr:rowOff>
                  </from>
                  <to>
                    <xdr:col>1</xdr:col>
                    <xdr:colOff>1924050</xdr:colOff>
                    <xdr:row>50</xdr:row>
                    <xdr:rowOff>219075</xdr:rowOff>
                  </to>
                </anchor>
              </controlPr>
            </control>
          </mc:Choice>
        </mc:AlternateContent>
        <mc:AlternateContent xmlns:mc="http://schemas.openxmlformats.org/markup-compatibility/2006">
          <mc:Choice Requires="x14">
            <control shapeId="11305" r:id="rId44" name="Drop Down 41">
              <controlPr defaultSize="0" autoLine="0" autoPict="0">
                <anchor moveWithCells="1">
                  <from>
                    <xdr:col>1</xdr:col>
                    <xdr:colOff>9525</xdr:colOff>
                    <xdr:row>51</xdr:row>
                    <xdr:rowOff>19050</xdr:rowOff>
                  </from>
                  <to>
                    <xdr:col>1</xdr:col>
                    <xdr:colOff>1924050</xdr:colOff>
                    <xdr:row>51</xdr:row>
                    <xdr:rowOff>219075</xdr:rowOff>
                  </to>
                </anchor>
              </controlPr>
            </control>
          </mc:Choice>
        </mc:AlternateContent>
        <mc:AlternateContent xmlns:mc="http://schemas.openxmlformats.org/markup-compatibility/2006">
          <mc:Choice Requires="x14">
            <control shapeId="11306" r:id="rId45" name="Drop Down 42">
              <controlPr defaultSize="0" autoLine="0" autoPict="0">
                <anchor moveWithCells="1">
                  <from>
                    <xdr:col>1</xdr:col>
                    <xdr:colOff>9525</xdr:colOff>
                    <xdr:row>52</xdr:row>
                    <xdr:rowOff>19050</xdr:rowOff>
                  </from>
                  <to>
                    <xdr:col>1</xdr:col>
                    <xdr:colOff>1924050</xdr:colOff>
                    <xdr:row>52</xdr:row>
                    <xdr:rowOff>219075</xdr:rowOff>
                  </to>
                </anchor>
              </controlPr>
            </control>
          </mc:Choice>
        </mc:AlternateContent>
        <mc:AlternateContent xmlns:mc="http://schemas.openxmlformats.org/markup-compatibility/2006">
          <mc:Choice Requires="x14">
            <control shapeId="11307" r:id="rId46" name="Drop Down 43">
              <controlPr defaultSize="0" autoLine="0" autoPict="0">
                <anchor moveWithCells="1">
                  <from>
                    <xdr:col>1</xdr:col>
                    <xdr:colOff>9525</xdr:colOff>
                    <xdr:row>53</xdr:row>
                    <xdr:rowOff>19050</xdr:rowOff>
                  </from>
                  <to>
                    <xdr:col>1</xdr:col>
                    <xdr:colOff>1924050</xdr:colOff>
                    <xdr:row>53</xdr:row>
                    <xdr:rowOff>219075</xdr:rowOff>
                  </to>
                </anchor>
              </controlPr>
            </control>
          </mc:Choice>
        </mc:AlternateContent>
        <mc:AlternateContent xmlns:mc="http://schemas.openxmlformats.org/markup-compatibility/2006">
          <mc:Choice Requires="x14">
            <control shapeId="11308" r:id="rId47" name="Drop Down 44">
              <controlPr defaultSize="0" autoLine="0" autoPict="0">
                <anchor moveWithCells="1">
                  <from>
                    <xdr:col>1</xdr:col>
                    <xdr:colOff>9525</xdr:colOff>
                    <xdr:row>54</xdr:row>
                    <xdr:rowOff>19050</xdr:rowOff>
                  </from>
                  <to>
                    <xdr:col>1</xdr:col>
                    <xdr:colOff>1924050</xdr:colOff>
                    <xdr:row>54</xdr:row>
                    <xdr:rowOff>219075</xdr:rowOff>
                  </to>
                </anchor>
              </controlPr>
            </control>
          </mc:Choice>
        </mc:AlternateContent>
        <mc:AlternateContent xmlns:mc="http://schemas.openxmlformats.org/markup-compatibility/2006">
          <mc:Choice Requires="x14">
            <control shapeId="11309" r:id="rId48" name="Drop Down 45">
              <controlPr defaultSize="0" autoLine="0" autoPict="0">
                <anchor moveWithCells="1">
                  <from>
                    <xdr:col>1</xdr:col>
                    <xdr:colOff>9525</xdr:colOff>
                    <xdr:row>55</xdr:row>
                    <xdr:rowOff>19050</xdr:rowOff>
                  </from>
                  <to>
                    <xdr:col>1</xdr:col>
                    <xdr:colOff>1924050</xdr:colOff>
                    <xdr:row>55</xdr:row>
                    <xdr:rowOff>219075</xdr:rowOff>
                  </to>
                </anchor>
              </controlPr>
            </control>
          </mc:Choice>
        </mc:AlternateContent>
        <mc:AlternateContent xmlns:mc="http://schemas.openxmlformats.org/markup-compatibility/2006">
          <mc:Choice Requires="x14">
            <control shapeId="11310" r:id="rId49" name="Check Box 46">
              <controlPr defaultSize="0" autoFill="0" autoLine="0" autoPict="0">
                <anchor moveWithCells="1">
                  <from>
                    <xdr:col>10</xdr:col>
                    <xdr:colOff>247650</xdr:colOff>
                    <xdr:row>59</xdr:row>
                    <xdr:rowOff>0</xdr:rowOff>
                  </from>
                  <to>
                    <xdr:col>10</xdr:col>
                    <xdr:colOff>476250</xdr:colOff>
                    <xdr:row>59</xdr:row>
                    <xdr:rowOff>190500</xdr:rowOff>
                  </to>
                </anchor>
              </controlPr>
            </control>
          </mc:Choice>
        </mc:AlternateContent>
      </controls>
    </mc:Choice>
  </mc:AlternateConten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22"/>
  <dimension ref="A1:R112"/>
  <sheetViews>
    <sheetView showGridLines="0" topLeftCell="B1" zoomScaleNormal="100" workbookViewId="0">
      <selection activeCell="C56" sqref="C56"/>
    </sheetView>
  </sheetViews>
  <sheetFormatPr defaultRowHeight="12.75" x14ac:dyDescent="0.2"/>
  <cols>
    <col min="1" max="1" width="3.7109375" customWidth="1"/>
    <col min="2" max="2" width="29.140625" customWidth="1"/>
    <col min="3" max="3" width="4.7109375" hidden="1" customWidth="1"/>
    <col min="4" max="4" width="4.7109375" customWidth="1"/>
    <col min="5" max="6" width="16" customWidth="1"/>
    <col min="7" max="7" width="10.7109375" customWidth="1"/>
    <col min="8" max="8" width="6" customWidth="1"/>
    <col min="9" max="9" width="10.7109375" customWidth="1"/>
    <col min="10" max="10" width="6" customWidth="1"/>
    <col min="11" max="11" width="10.7109375" customWidth="1"/>
    <col min="12" max="12" width="6" customWidth="1"/>
    <col min="13" max="13" width="9.7109375" customWidth="1"/>
    <col min="14" max="14" width="3.28515625" hidden="1" customWidth="1"/>
    <col min="15" max="15" width="11.28515625" customWidth="1"/>
    <col min="16" max="16" width="10.7109375" customWidth="1"/>
    <col min="17" max="17" width="5.7109375" customWidth="1"/>
    <col min="18" max="18" width="10.7109375" customWidth="1"/>
    <col min="19" max="19" width="12.7109375" customWidth="1"/>
  </cols>
  <sheetData>
    <row r="1" spans="1:18" ht="26.1" customHeight="1" x14ac:dyDescent="0.4">
      <c r="A1" s="1372" t="s">
        <v>372</v>
      </c>
      <c r="B1" s="1540"/>
      <c r="C1" s="216"/>
      <c r="D1" s="1541" t="s">
        <v>364</v>
      </c>
      <c r="E1" s="1374"/>
      <c r="F1" s="1374"/>
      <c r="G1" s="1374"/>
      <c r="H1" s="1374"/>
      <c r="I1" s="1374"/>
      <c r="J1" s="1374"/>
      <c r="K1" s="1542"/>
      <c r="L1" s="1380">
        <f>IF('Complete This Page'!G11="",YEAR('Complete This Page'!H11),'Complete This Page'!G11)</f>
        <v>2018</v>
      </c>
      <c r="M1" s="1381"/>
      <c r="O1" s="171"/>
      <c r="P1" s="171"/>
      <c r="Q1" s="171"/>
      <c r="R1" s="171"/>
    </row>
    <row r="2" spans="1:18" ht="11.25" customHeight="1" x14ac:dyDescent="0.2">
      <c r="A2" s="1545" t="s">
        <v>159</v>
      </c>
      <c r="B2" s="1546"/>
      <c r="C2" s="217"/>
      <c r="D2" s="1543"/>
      <c r="E2" s="1375"/>
      <c r="F2" s="1375"/>
      <c r="G2" s="1375"/>
      <c r="H2" s="1375"/>
      <c r="I2" s="1375"/>
      <c r="J2" s="1375"/>
      <c r="K2" s="1544"/>
      <c r="L2" s="1382" t="str">
        <f>+'Complete This Page'!J1</f>
        <v>NPAC v2018.0</v>
      </c>
      <c r="M2" s="1383"/>
      <c r="O2" s="786"/>
      <c r="P2" s="171"/>
      <c r="Q2" s="171"/>
      <c r="R2" s="171"/>
    </row>
    <row r="3" spans="1:18" x14ac:dyDescent="0.2">
      <c r="A3" s="1" t="s">
        <v>467</v>
      </c>
      <c r="B3" s="879"/>
      <c r="C3" s="879"/>
      <c r="D3" s="879"/>
      <c r="E3" s="879"/>
      <c r="F3" s="879"/>
      <c r="G3" s="879"/>
      <c r="H3" s="879"/>
      <c r="I3" s="880"/>
      <c r="J3" s="334"/>
      <c r="K3" s="335" t="s">
        <v>466</v>
      </c>
      <c r="L3" s="1"/>
      <c r="M3" s="1"/>
      <c r="O3" s="171"/>
      <c r="P3" s="171"/>
      <c r="Q3" s="171"/>
      <c r="R3" s="171"/>
    </row>
    <row r="4" spans="1:18" ht="18" x14ac:dyDescent="0.25">
      <c r="A4" s="881"/>
      <c r="B4" s="1377">
        <f>'Complete This Page'!B3</f>
        <v>0</v>
      </c>
      <c r="C4" s="1377"/>
      <c r="D4" s="1377"/>
      <c r="E4" s="1377"/>
      <c r="F4" s="1377"/>
      <c r="G4" s="1377"/>
      <c r="H4" s="1377"/>
      <c r="I4" s="1377"/>
      <c r="J4" s="1378"/>
      <c r="K4" s="1350">
        <f>'Complete This Page'!G3</f>
        <v>0</v>
      </c>
      <c r="L4" s="1351"/>
      <c r="M4" s="1351"/>
      <c r="O4" s="786"/>
      <c r="P4" s="171"/>
      <c r="Q4" s="171"/>
      <c r="R4" s="171"/>
    </row>
    <row r="5" spans="1:18" s="7" customFormat="1" ht="8.25" x14ac:dyDescent="0.15">
      <c r="L5" s="8"/>
      <c r="M5" s="603"/>
      <c r="O5" s="604"/>
      <c r="P5" s="604"/>
      <c r="Q5" s="604"/>
      <c r="R5" s="604"/>
    </row>
    <row r="6" spans="1:18" x14ac:dyDescent="0.2">
      <c r="B6" s="1550" t="s">
        <v>314</v>
      </c>
      <c r="E6" s="1526" t="s">
        <v>628</v>
      </c>
      <c r="F6" s="1527"/>
      <c r="G6" s="674">
        <f>IF(Overflow!G6="","",Overflow!G6)</f>
        <v>0</v>
      </c>
      <c r="I6" s="1534" t="s">
        <v>631</v>
      </c>
      <c r="J6" s="1535"/>
      <c r="K6" s="675">
        <f>IF(Overflow!K6="","",Overflow!K6)</f>
        <v>0</v>
      </c>
      <c r="L6" s="320"/>
      <c r="N6" s="340">
        <f>IF(G8&gt;0,1,0)</f>
        <v>0</v>
      </c>
      <c r="O6" s="171"/>
      <c r="P6" s="171"/>
      <c r="Q6" s="171"/>
      <c r="R6" s="171"/>
    </row>
    <row r="7" spans="1:18" x14ac:dyDescent="0.2">
      <c r="B7" s="1551"/>
      <c r="D7" s="329"/>
      <c r="E7" s="1528" t="s">
        <v>629</v>
      </c>
      <c r="F7" s="1529"/>
      <c r="G7" s="674">
        <f>IF(Overflow!G7="","",Overflow!G7)</f>
        <v>0</v>
      </c>
      <c r="H7" s="321"/>
      <c r="I7" s="333"/>
      <c r="J7" s="321"/>
      <c r="K7" s="320"/>
      <c r="L7" s="320"/>
      <c r="N7" s="340">
        <f>IF(K6&gt;0,1,0)</f>
        <v>0</v>
      </c>
      <c r="O7" s="171"/>
      <c r="P7" s="342"/>
      <c r="Q7" s="342"/>
      <c r="R7" s="343"/>
    </row>
    <row r="8" spans="1:18" x14ac:dyDescent="0.2">
      <c r="B8" s="1551"/>
      <c r="D8" s="329"/>
      <c r="E8" s="1532" t="s">
        <v>630</v>
      </c>
      <c r="F8" s="1533"/>
      <c r="G8" s="599">
        <f>SUM(G6:G7)</f>
        <v>0</v>
      </c>
      <c r="H8" s="321"/>
      <c r="I8" s="1536" t="s">
        <v>632</v>
      </c>
      <c r="J8" s="1537"/>
      <c r="K8" s="675">
        <f>IF(Overflow!K8="","",Overflow!K8)</f>
        <v>0</v>
      </c>
      <c r="N8" s="340">
        <f>IF(K8&gt;0,1,0)</f>
        <v>0</v>
      </c>
      <c r="O8" s="171"/>
      <c r="P8" s="171"/>
      <c r="Q8" s="171"/>
      <c r="R8" s="171"/>
    </row>
    <row r="9" spans="1:18" s="7" customFormat="1" ht="11.25" customHeight="1" x14ac:dyDescent="0.15">
      <c r="N9" s="605">
        <f>SUM(N6:N8)</f>
        <v>0</v>
      </c>
      <c r="O9" s="604"/>
      <c r="P9" s="604"/>
      <c r="Q9" s="604"/>
      <c r="R9" s="604"/>
    </row>
    <row r="10" spans="1:18" s="1" customFormat="1" ht="11.25" x14ac:dyDescent="0.2">
      <c r="B10" s="322"/>
      <c r="D10" s="1547" t="s">
        <v>588</v>
      </c>
      <c r="E10" s="1530" t="s">
        <v>621</v>
      </c>
      <c r="F10" s="1531"/>
      <c r="G10" s="1531"/>
      <c r="H10" s="1538"/>
      <c r="I10" s="1530" t="s">
        <v>627</v>
      </c>
      <c r="J10" s="1531"/>
      <c r="K10" s="1006" t="s">
        <v>1670</v>
      </c>
      <c r="L10" s="1007"/>
      <c r="M10" s="21" t="s">
        <v>620</v>
      </c>
      <c r="O10" s="344"/>
      <c r="P10" s="344"/>
      <c r="Q10" s="344"/>
      <c r="R10" s="344"/>
    </row>
    <row r="11" spans="1:18" x14ac:dyDescent="0.2">
      <c r="B11" s="323" t="s">
        <v>618</v>
      </c>
      <c r="C11" s="324" t="s">
        <v>164</v>
      </c>
      <c r="D11" s="1548"/>
      <c r="E11" s="22" t="s">
        <v>622</v>
      </c>
      <c r="F11" s="22" t="s">
        <v>623</v>
      </c>
      <c r="G11" s="22" t="s">
        <v>624</v>
      </c>
      <c r="H11" s="22" t="s">
        <v>625</v>
      </c>
      <c r="I11" s="22" t="s">
        <v>619</v>
      </c>
      <c r="J11" s="22" t="s">
        <v>625</v>
      </c>
      <c r="K11" s="22" t="s">
        <v>626</v>
      </c>
      <c r="L11" s="22" t="s">
        <v>625</v>
      </c>
      <c r="M11" s="22"/>
      <c r="O11" s="171"/>
      <c r="P11" s="171"/>
      <c r="Q11" s="171"/>
      <c r="R11" s="171"/>
    </row>
    <row r="12" spans="1:18" ht="18" customHeight="1" x14ac:dyDescent="0.2">
      <c r="A12" s="325">
        <v>181</v>
      </c>
      <c r="B12" s="878"/>
      <c r="C12" s="326">
        <v>1</v>
      </c>
      <c r="D12" s="327">
        <f>LOOKUP(C12,Cities!A$3:A$343,Cities!B$3:B$343)</f>
        <v>0</v>
      </c>
      <c r="E12" s="332">
        <v>0</v>
      </c>
      <c r="F12" s="332">
        <v>0</v>
      </c>
      <c r="G12" s="331">
        <f t="shared" ref="G12:G56" si="0">+E12+F12</f>
        <v>0</v>
      </c>
      <c r="H12" s="914" t="str">
        <f t="shared" ref="H12:H56" si="1">IF(G$8&gt;0,ROUND(G12/G$8,6),"n/a")</f>
        <v>n/a</v>
      </c>
      <c r="I12" s="332">
        <v>0</v>
      </c>
      <c r="J12" s="914" t="str">
        <f>IF(Overflow!K$6&gt;0,ROUND(I12/Overflow!K$6,6),"n/a")</f>
        <v>n/a</v>
      </c>
      <c r="K12" s="332">
        <v>0</v>
      </c>
      <c r="L12" s="914" t="str">
        <f>IF(Overflow!K$8&gt;0,ROUND(K12/Overflow!K$8,6),"n/a")</f>
        <v>n/a</v>
      </c>
      <c r="M12" s="330">
        <f>IF(Overflow!G$8+Overflow!K$6+Overflow!K$8=0,0,ROUND((IF(H12="n/a",0,H12)+IF(J12="n/a",0,J12)+IF(L12="n/a",0,L12))/N$9,6))</f>
        <v>0</v>
      </c>
      <c r="O12" s="788">
        <f>LOOKUP(C12,Cities!A$3:A$343,Cities!AA$3:AA$343)</f>
        <v>0</v>
      </c>
      <c r="P12" s="171"/>
      <c r="Q12" s="171"/>
      <c r="R12" s="171"/>
    </row>
    <row r="13" spans="1:18" ht="18" customHeight="1" x14ac:dyDescent="0.2">
      <c r="A13" s="325">
        <f>A12+1</f>
        <v>182</v>
      </c>
      <c r="B13" s="878"/>
      <c r="C13" s="326">
        <v>1</v>
      </c>
      <c r="D13" s="327">
        <f>LOOKUP(C13,Cities!A$3:A$343,Cities!B$3:B$343)</f>
        <v>0</v>
      </c>
      <c r="E13" s="332">
        <v>0</v>
      </c>
      <c r="F13" s="332">
        <v>0</v>
      </c>
      <c r="G13" s="331">
        <f t="shared" si="0"/>
        <v>0</v>
      </c>
      <c r="H13" s="914" t="str">
        <f t="shared" si="1"/>
        <v>n/a</v>
      </c>
      <c r="I13" s="332">
        <v>0</v>
      </c>
      <c r="J13" s="914" t="str">
        <f>IF(Overflow!K$6&gt;0,ROUND(I13/Overflow!K$6,6),"n/a")</f>
        <v>n/a</v>
      </c>
      <c r="K13" s="332">
        <v>0</v>
      </c>
      <c r="L13" s="914" t="str">
        <f>IF(Overflow!K$8&gt;0,ROUND(K13/Overflow!K$8,6),"n/a")</f>
        <v>n/a</v>
      </c>
      <c r="M13" s="330">
        <f>IF(Overflow!G$8+Overflow!K$6+Overflow!K$8=0,0,ROUND((IF(H13="n/a",0,H13)+IF(J13="n/a",0,J13)+IF(L13="n/a",0,L13))/N$9,6))</f>
        <v>0</v>
      </c>
      <c r="O13" s="788">
        <f>LOOKUP(C13,Cities!A$3:A$343,Cities!AA$3:AA$343)</f>
        <v>0</v>
      </c>
      <c r="P13" s="171"/>
      <c r="Q13" s="171"/>
      <c r="R13" s="171"/>
    </row>
    <row r="14" spans="1:18" ht="18" customHeight="1" x14ac:dyDescent="0.2">
      <c r="A14" s="325">
        <f t="shared" ref="A14:A56" si="2">A13+1</f>
        <v>183</v>
      </c>
      <c r="B14" s="878"/>
      <c r="C14" s="326">
        <v>1</v>
      </c>
      <c r="D14" s="327">
        <f>LOOKUP(C14,Cities!A$3:A$343,Cities!B$3:B$343)</f>
        <v>0</v>
      </c>
      <c r="E14" s="332">
        <v>0</v>
      </c>
      <c r="F14" s="332">
        <v>0</v>
      </c>
      <c r="G14" s="331">
        <f t="shared" si="0"/>
        <v>0</v>
      </c>
      <c r="H14" s="914" t="str">
        <f t="shared" si="1"/>
        <v>n/a</v>
      </c>
      <c r="I14" s="332">
        <v>0</v>
      </c>
      <c r="J14" s="914" t="str">
        <f>IF(Overflow!K$6&gt;0,ROUND(I14/Overflow!K$6,6),"n/a")</f>
        <v>n/a</v>
      </c>
      <c r="K14" s="332">
        <v>0</v>
      </c>
      <c r="L14" s="914" t="str">
        <f>IF(Overflow!K$8&gt;0,ROUND(K14/Overflow!K$8,6),"n/a")</f>
        <v>n/a</v>
      </c>
      <c r="M14" s="330">
        <f>IF(Overflow!G$8+Overflow!K$6+Overflow!K$8=0,0,ROUND((IF(H14="n/a",0,H14)+IF(J14="n/a",0,J14)+IF(L14="n/a",0,L14))/N$9,6))</f>
        <v>0</v>
      </c>
      <c r="O14" s="788">
        <f>LOOKUP(C14,Cities!A$3:A$343,Cities!AA$3:AA$343)</f>
        <v>0</v>
      </c>
      <c r="P14" s="171"/>
      <c r="Q14" s="171"/>
      <c r="R14" s="171"/>
    </row>
    <row r="15" spans="1:18" ht="18" customHeight="1" x14ac:dyDescent="0.2">
      <c r="A15" s="325">
        <f t="shared" si="2"/>
        <v>184</v>
      </c>
      <c r="B15" s="878"/>
      <c r="C15" s="326">
        <v>1</v>
      </c>
      <c r="D15" s="327">
        <f>LOOKUP(C15,Cities!A$3:A$343,Cities!B$3:B$343)</f>
        <v>0</v>
      </c>
      <c r="E15" s="332">
        <v>0</v>
      </c>
      <c r="F15" s="332">
        <v>0</v>
      </c>
      <c r="G15" s="331">
        <f t="shared" si="0"/>
        <v>0</v>
      </c>
      <c r="H15" s="914" t="str">
        <f t="shared" si="1"/>
        <v>n/a</v>
      </c>
      <c r="I15" s="332">
        <v>0</v>
      </c>
      <c r="J15" s="914" t="str">
        <f>IF(Overflow!K$6&gt;0,ROUND(I15/Overflow!K$6,6),"n/a")</f>
        <v>n/a</v>
      </c>
      <c r="K15" s="332">
        <v>0</v>
      </c>
      <c r="L15" s="914" t="str">
        <f>IF(Overflow!K$8&gt;0,ROUND(K15/Overflow!K$8,6),"n/a")</f>
        <v>n/a</v>
      </c>
      <c r="M15" s="330">
        <f>IF(Overflow!G$8+Overflow!K$6+Overflow!K$8=0,0,ROUND((IF(H15="n/a",0,H15)+IF(J15="n/a",0,J15)+IF(L15="n/a",0,L15))/N$9,6))</f>
        <v>0</v>
      </c>
      <c r="O15" s="788">
        <f>LOOKUP(C15,Cities!A$3:A$343,Cities!AA$3:AA$343)</f>
        <v>0</v>
      </c>
      <c r="P15" s="171"/>
      <c r="Q15" s="171"/>
      <c r="R15" s="171"/>
    </row>
    <row r="16" spans="1:18" ht="18" customHeight="1" x14ac:dyDescent="0.2">
      <c r="A16" s="325">
        <f t="shared" si="2"/>
        <v>185</v>
      </c>
      <c r="B16" s="878"/>
      <c r="C16" s="326">
        <v>1</v>
      </c>
      <c r="D16" s="327">
        <f>LOOKUP(C16,Cities!A$3:A$343,Cities!B$3:B$343)</f>
        <v>0</v>
      </c>
      <c r="E16" s="332">
        <v>0</v>
      </c>
      <c r="F16" s="332">
        <v>0</v>
      </c>
      <c r="G16" s="331">
        <f t="shared" si="0"/>
        <v>0</v>
      </c>
      <c r="H16" s="914" t="str">
        <f t="shared" si="1"/>
        <v>n/a</v>
      </c>
      <c r="I16" s="332">
        <v>0</v>
      </c>
      <c r="J16" s="914" t="str">
        <f>IF(Overflow!K$6&gt;0,ROUND(I16/Overflow!K$6,6),"n/a")</f>
        <v>n/a</v>
      </c>
      <c r="K16" s="332">
        <v>0</v>
      </c>
      <c r="L16" s="914" t="str">
        <f>IF(Overflow!K$8&gt;0,ROUND(K16/Overflow!K$8,6),"n/a")</f>
        <v>n/a</v>
      </c>
      <c r="M16" s="330">
        <f>IF(Overflow!G$8+Overflow!K$6+Overflow!K$8=0,0,ROUND((IF(H16="n/a",0,H16)+IF(J16="n/a",0,J16)+IF(L16="n/a",0,L16))/N$9,6))</f>
        <v>0</v>
      </c>
      <c r="O16" s="788">
        <f>LOOKUP(C16,Cities!A$3:A$343,Cities!AA$3:AA$343)</f>
        <v>0</v>
      </c>
      <c r="P16" s="171"/>
      <c r="Q16" s="171"/>
      <c r="R16" s="171"/>
    </row>
    <row r="17" spans="1:18" ht="18" customHeight="1" x14ac:dyDescent="0.2">
      <c r="A17" s="325">
        <f t="shared" si="2"/>
        <v>186</v>
      </c>
      <c r="B17" s="878"/>
      <c r="C17" s="326">
        <v>1</v>
      </c>
      <c r="D17" s="327">
        <f>LOOKUP(C17,Cities!A$3:A$343,Cities!B$3:B$343)</f>
        <v>0</v>
      </c>
      <c r="E17" s="332">
        <v>0</v>
      </c>
      <c r="F17" s="332">
        <v>0</v>
      </c>
      <c r="G17" s="331">
        <f t="shared" si="0"/>
        <v>0</v>
      </c>
      <c r="H17" s="914" t="str">
        <f t="shared" si="1"/>
        <v>n/a</v>
      </c>
      <c r="I17" s="332">
        <v>0</v>
      </c>
      <c r="J17" s="914" t="str">
        <f>IF(Overflow!K$6&gt;0,ROUND(I17/Overflow!K$6,6),"n/a")</f>
        <v>n/a</v>
      </c>
      <c r="K17" s="332">
        <v>0</v>
      </c>
      <c r="L17" s="914" t="str">
        <f>IF(Overflow!K$8&gt;0,ROUND(K17/Overflow!K$8,6),"n/a")</f>
        <v>n/a</v>
      </c>
      <c r="M17" s="330">
        <f>IF(Overflow!G$8+Overflow!K$6+Overflow!K$8=0,0,ROUND((IF(H17="n/a",0,H17)+IF(J17="n/a",0,J17)+IF(L17="n/a",0,L17))/N$9,6))</f>
        <v>0</v>
      </c>
      <c r="O17" s="788">
        <f>LOOKUP(C17,Cities!A$3:A$343,Cities!AA$3:AA$343)</f>
        <v>0</v>
      </c>
      <c r="P17" s="171"/>
      <c r="Q17" s="171"/>
      <c r="R17" s="171"/>
    </row>
    <row r="18" spans="1:18" ht="18" customHeight="1" x14ac:dyDescent="0.2">
      <c r="A18" s="325">
        <f t="shared" si="2"/>
        <v>187</v>
      </c>
      <c r="B18" s="878"/>
      <c r="C18" s="326">
        <v>1</v>
      </c>
      <c r="D18" s="327">
        <f>LOOKUP(C18,Cities!A$3:A$343,Cities!B$3:B$343)</f>
        <v>0</v>
      </c>
      <c r="E18" s="332">
        <v>0</v>
      </c>
      <c r="F18" s="332">
        <v>0</v>
      </c>
      <c r="G18" s="331">
        <f t="shared" si="0"/>
        <v>0</v>
      </c>
      <c r="H18" s="914" t="str">
        <f t="shared" si="1"/>
        <v>n/a</v>
      </c>
      <c r="I18" s="332">
        <v>0</v>
      </c>
      <c r="J18" s="914" t="str">
        <f>IF(Overflow!K$6&gt;0,ROUND(I18/Overflow!K$6,6),"n/a")</f>
        <v>n/a</v>
      </c>
      <c r="K18" s="332">
        <v>0</v>
      </c>
      <c r="L18" s="914" t="str">
        <f>IF(Overflow!K$8&gt;0,ROUND(K18/Overflow!K$8,6),"n/a")</f>
        <v>n/a</v>
      </c>
      <c r="M18" s="330">
        <f>IF(Overflow!G$8+Overflow!K$6+Overflow!K$8=0,0,ROUND((IF(H18="n/a",0,H18)+IF(J18="n/a",0,J18)+IF(L18="n/a",0,L18))/N$9,6))</f>
        <v>0</v>
      </c>
      <c r="O18" s="788">
        <f>LOOKUP(C18,Cities!A$3:A$343,Cities!AA$3:AA$343)</f>
        <v>0</v>
      </c>
      <c r="P18" s="171"/>
      <c r="Q18" s="171"/>
      <c r="R18" s="171"/>
    </row>
    <row r="19" spans="1:18" ht="18" customHeight="1" x14ac:dyDescent="0.2">
      <c r="A19" s="325">
        <f t="shared" si="2"/>
        <v>188</v>
      </c>
      <c r="B19" s="878"/>
      <c r="C19" s="326">
        <v>1</v>
      </c>
      <c r="D19" s="327">
        <f>LOOKUP(C19,Cities!A$3:A$343,Cities!B$3:B$343)</f>
        <v>0</v>
      </c>
      <c r="E19" s="332">
        <v>0</v>
      </c>
      <c r="F19" s="332">
        <v>0</v>
      </c>
      <c r="G19" s="331">
        <f t="shared" si="0"/>
        <v>0</v>
      </c>
      <c r="H19" s="914" t="str">
        <f t="shared" si="1"/>
        <v>n/a</v>
      </c>
      <c r="I19" s="332">
        <v>0</v>
      </c>
      <c r="J19" s="914" t="str">
        <f>IF(Overflow!K$6&gt;0,ROUND(I19/Overflow!K$6,6),"n/a")</f>
        <v>n/a</v>
      </c>
      <c r="K19" s="332">
        <v>0</v>
      </c>
      <c r="L19" s="914" t="str">
        <f>IF(Overflow!K$8&gt;0,ROUND(K19/Overflow!K$8,6),"n/a")</f>
        <v>n/a</v>
      </c>
      <c r="M19" s="330">
        <f>IF(Overflow!G$8+Overflow!K$6+Overflow!K$8=0,0,ROUND((IF(H19="n/a",0,H19)+IF(J19="n/a",0,J19)+IF(L19="n/a",0,L19))/N$9,6))</f>
        <v>0</v>
      </c>
      <c r="O19" s="788">
        <f>LOOKUP(C19,Cities!A$3:A$343,Cities!AA$3:AA$343)</f>
        <v>0</v>
      </c>
      <c r="P19" s="171"/>
      <c r="Q19" s="171"/>
      <c r="R19" s="171"/>
    </row>
    <row r="20" spans="1:18" ht="18" customHeight="1" x14ac:dyDescent="0.2">
      <c r="A20" s="325">
        <f t="shared" si="2"/>
        <v>189</v>
      </c>
      <c r="B20" s="878"/>
      <c r="C20" s="326">
        <v>1</v>
      </c>
      <c r="D20" s="327">
        <f>LOOKUP(C20,Cities!A$3:A$343,Cities!B$3:B$343)</f>
        <v>0</v>
      </c>
      <c r="E20" s="332">
        <v>0</v>
      </c>
      <c r="F20" s="332">
        <v>0</v>
      </c>
      <c r="G20" s="331">
        <f t="shared" si="0"/>
        <v>0</v>
      </c>
      <c r="H20" s="914" t="str">
        <f t="shared" si="1"/>
        <v>n/a</v>
      </c>
      <c r="I20" s="332">
        <v>0</v>
      </c>
      <c r="J20" s="914" t="str">
        <f>IF(Overflow!K$6&gt;0,ROUND(I20/Overflow!K$6,6),"n/a")</f>
        <v>n/a</v>
      </c>
      <c r="K20" s="332">
        <v>0</v>
      </c>
      <c r="L20" s="914" t="str">
        <f>IF(Overflow!K$8&gt;0,ROUND(K20/Overflow!K$8,6),"n/a")</f>
        <v>n/a</v>
      </c>
      <c r="M20" s="330">
        <f>IF(Overflow!G$8+Overflow!K$6+Overflow!K$8=0,0,ROUND((IF(H20="n/a",0,H20)+IF(J20="n/a",0,J20)+IF(L20="n/a",0,L20))/N$9,6))</f>
        <v>0</v>
      </c>
      <c r="O20" s="788">
        <f>LOOKUP(C20,Cities!A$3:A$343,Cities!AA$3:AA$343)</f>
        <v>0</v>
      </c>
      <c r="P20" s="171"/>
      <c r="Q20" s="171"/>
      <c r="R20" s="171"/>
    </row>
    <row r="21" spans="1:18" ht="18" customHeight="1" x14ac:dyDescent="0.2">
      <c r="A21" s="325">
        <f t="shared" si="2"/>
        <v>190</v>
      </c>
      <c r="B21" s="878"/>
      <c r="C21" s="326">
        <v>1</v>
      </c>
      <c r="D21" s="327">
        <f>LOOKUP(C21,Cities!A$3:A$343,Cities!B$3:B$343)</f>
        <v>0</v>
      </c>
      <c r="E21" s="332">
        <v>0</v>
      </c>
      <c r="F21" s="332">
        <v>0</v>
      </c>
      <c r="G21" s="331">
        <f t="shared" si="0"/>
        <v>0</v>
      </c>
      <c r="H21" s="914" t="str">
        <f t="shared" si="1"/>
        <v>n/a</v>
      </c>
      <c r="I21" s="332">
        <v>0</v>
      </c>
      <c r="J21" s="914" t="str">
        <f>IF(Overflow!K$6&gt;0,ROUND(I21/Overflow!K$6,6),"n/a")</f>
        <v>n/a</v>
      </c>
      <c r="K21" s="332">
        <v>0</v>
      </c>
      <c r="L21" s="914" t="str">
        <f>IF(Overflow!K$8&gt;0,ROUND(K21/Overflow!K$8,6),"n/a")</f>
        <v>n/a</v>
      </c>
      <c r="M21" s="330">
        <f>IF(Overflow!G$8+Overflow!K$6+Overflow!K$8=0,0,ROUND((IF(H21="n/a",0,H21)+IF(J21="n/a",0,J21)+IF(L21="n/a",0,L21))/N$9,6))</f>
        <v>0</v>
      </c>
      <c r="O21" s="788">
        <f>LOOKUP(C21,Cities!A$3:A$343,Cities!AA$3:AA$343)</f>
        <v>0</v>
      </c>
      <c r="P21" s="171"/>
      <c r="Q21" s="171"/>
      <c r="R21" s="171"/>
    </row>
    <row r="22" spans="1:18" ht="18" customHeight="1" x14ac:dyDescent="0.2">
      <c r="A22" s="325">
        <f t="shared" si="2"/>
        <v>191</v>
      </c>
      <c r="B22" s="878"/>
      <c r="C22" s="326">
        <v>1</v>
      </c>
      <c r="D22" s="327">
        <f>LOOKUP(C22,Cities!A$3:A$343,Cities!B$3:B$343)</f>
        <v>0</v>
      </c>
      <c r="E22" s="332">
        <v>0</v>
      </c>
      <c r="F22" s="332">
        <v>0</v>
      </c>
      <c r="G22" s="331">
        <f t="shared" si="0"/>
        <v>0</v>
      </c>
      <c r="H22" s="914" t="str">
        <f t="shared" si="1"/>
        <v>n/a</v>
      </c>
      <c r="I22" s="332">
        <v>0</v>
      </c>
      <c r="J22" s="914" t="str">
        <f>IF(Overflow!K$6&gt;0,ROUND(I22/Overflow!K$6,6),"n/a")</f>
        <v>n/a</v>
      </c>
      <c r="K22" s="332">
        <v>0</v>
      </c>
      <c r="L22" s="914" t="str">
        <f>IF(Overflow!K$8&gt;0,ROUND(K22/Overflow!K$8,6),"n/a")</f>
        <v>n/a</v>
      </c>
      <c r="M22" s="330">
        <f>IF(Overflow!G$8+Overflow!K$6+Overflow!K$8=0,0,ROUND((IF(H22="n/a",0,H22)+IF(J22="n/a",0,J22)+IF(L22="n/a",0,L22))/N$9,6))</f>
        <v>0</v>
      </c>
      <c r="O22" s="788">
        <f>LOOKUP(C22,Cities!A$3:A$343,Cities!AA$3:AA$343)</f>
        <v>0</v>
      </c>
      <c r="P22" s="171"/>
      <c r="Q22" s="171"/>
      <c r="R22" s="171"/>
    </row>
    <row r="23" spans="1:18" ht="18" customHeight="1" x14ac:dyDescent="0.2">
      <c r="A23" s="325">
        <f t="shared" si="2"/>
        <v>192</v>
      </c>
      <c r="B23" s="878"/>
      <c r="C23" s="326">
        <v>1</v>
      </c>
      <c r="D23" s="327">
        <f>LOOKUP(C23,Cities!A$3:A$343,Cities!B$3:B$343)</f>
        <v>0</v>
      </c>
      <c r="E23" s="332">
        <v>0</v>
      </c>
      <c r="F23" s="332">
        <v>0</v>
      </c>
      <c r="G23" s="331">
        <f t="shared" si="0"/>
        <v>0</v>
      </c>
      <c r="H23" s="914" t="str">
        <f t="shared" si="1"/>
        <v>n/a</v>
      </c>
      <c r="I23" s="332">
        <v>0</v>
      </c>
      <c r="J23" s="914" t="str">
        <f>IF(Overflow!K$6&gt;0,ROUND(I23/Overflow!K$6,6),"n/a")</f>
        <v>n/a</v>
      </c>
      <c r="K23" s="332">
        <v>0</v>
      </c>
      <c r="L23" s="914" t="str">
        <f>IF(Overflow!K$8&gt;0,ROUND(K23/Overflow!K$8,6),"n/a")</f>
        <v>n/a</v>
      </c>
      <c r="M23" s="330">
        <f>IF(Overflow!G$8+Overflow!K$6+Overflow!K$8=0,0,ROUND((IF(H23="n/a",0,H23)+IF(J23="n/a",0,J23)+IF(L23="n/a",0,L23))/N$9,6))</f>
        <v>0</v>
      </c>
      <c r="O23" s="788">
        <f>LOOKUP(C23,Cities!A$3:A$343,Cities!AA$3:AA$343)</f>
        <v>0</v>
      </c>
      <c r="P23" s="171"/>
      <c r="Q23" s="171"/>
      <c r="R23" s="171"/>
    </row>
    <row r="24" spans="1:18" ht="18" customHeight="1" x14ac:dyDescent="0.2">
      <c r="A24" s="325">
        <f t="shared" si="2"/>
        <v>193</v>
      </c>
      <c r="B24" s="878"/>
      <c r="C24" s="326">
        <v>1</v>
      </c>
      <c r="D24" s="327">
        <f>LOOKUP(C24,Cities!A$3:A$343,Cities!B$3:B$343)</f>
        <v>0</v>
      </c>
      <c r="E24" s="332">
        <v>0</v>
      </c>
      <c r="F24" s="332">
        <v>0</v>
      </c>
      <c r="G24" s="331">
        <f t="shared" si="0"/>
        <v>0</v>
      </c>
      <c r="H24" s="914" t="str">
        <f t="shared" si="1"/>
        <v>n/a</v>
      </c>
      <c r="I24" s="332">
        <v>0</v>
      </c>
      <c r="J24" s="914" t="str">
        <f>IF(Overflow!K$6&gt;0,ROUND(I24/Overflow!K$6,6),"n/a")</f>
        <v>n/a</v>
      </c>
      <c r="K24" s="332">
        <v>0</v>
      </c>
      <c r="L24" s="914" t="str">
        <f>IF(Overflow!K$8&gt;0,ROUND(K24/Overflow!K$8,6),"n/a")</f>
        <v>n/a</v>
      </c>
      <c r="M24" s="330">
        <f>IF(Overflow!G$8+Overflow!K$6+Overflow!K$8=0,0,ROUND((IF(H24="n/a",0,H24)+IF(J24="n/a",0,J24)+IF(L24="n/a",0,L24))/N$9,6))</f>
        <v>0</v>
      </c>
      <c r="O24" s="788">
        <f>LOOKUP(C24,Cities!A$3:A$343,Cities!AA$3:AA$343)</f>
        <v>0</v>
      </c>
      <c r="P24" s="171"/>
      <c r="Q24" s="171"/>
      <c r="R24" s="171"/>
    </row>
    <row r="25" spans="1:18" ht="18" customHeight="1" x14ac:dyDescent="0.2">
      <c r="A25" s="325">
        <f t="shared" si="2"/>
        <v>194</v>
      </c>
      <c r="B25" s="878"/>
      <c r="C25" s="326">
        <v>1</v>
      </c>
      <c r="D25" s="327">
        <f>LOOKUP(C25,Cities!A$3:A$343,Cities!B$3:B$343)</f>
        <v>0</v>
      </c>
      <c r="E25" s="332">
        <v>0</v>
      </c>
      <c r="F25" s="332">
        <v>0</v>
      </c>
      <c r="G25" s="331">
        <f t="shared" si="0"/>
        <v>0</v>
      </c>
      <c r="H25" s="914" t="str">
        <f t="shared" si="1"/>
        <v>n/a</v>
      </c>
      <c r="I25" s="332">
        <v>0</v>
      </c>
      <c r="J25" s="914" t="str">
        <f>IF(Overflow!K$6&gt;0,ROUND(I25/Overflow!K$6,6),"n/a")</f>
        <v>n/a</v>
      </c>
      <c r="K25" s="332">
        <v>0</v>
      </c>
      <c r="L25" s="914" t="str">
        <f>IF(Overflow!K$8&gt;0,ROUND(K25/Overflow!K$8,6),"n/a")</f>
        <v>n/a</v>
      </c>
      <c r="M25" s="330">
        <f>IF(Overflow!G$8+Overflow!K$6+Overflow!K$8=0,0,ROUND((IF(H25="n/a",0,H25)+IF(J25="n/a",0,J25)+IF(L25="n/a",0,L25))/N$9,6))</f>
        <v>0</v>
      </c>
      <c r="O25" s="788">
        <f>LOOKUP(C25,Cities!A$3:A$343,Cities!AA$3:AA$343)</f>
        <v>0</v>
      </c>
      <c r="P25" s="171"/>
      <c r="Q25" s="171"/>
      <c r="R25" s="171"/>
    </row>
    <row r="26" spans="1:18" ht="18" customHeight="1" x14ac:dyDescent="0.2">
      <c r="A26" s="325">
        <f t="shared" si="2"/>
        <v>195</v>
      </c>
      <c r="B26" s="878"/>
      <c r="C26" s="326">
        <v>1</v>
      </c>
      <c r="D26" s="327">
        <f>LOOKUP(C26,Cities!A$3:A$343,Cities!B$3:B$343)</f>
        <v>0</v>
      </c>
      <c r="E26" s="332">
        <v>0</v>
      </c>
      <c r="F26" s="332">
        <v>0</v>
      </c>
      <c r="G26" s="331">
        <f t="shared" si="0"/>
        <v>0</v>
      </c>
      <c r="H26" s="914" t="str">
        <f t="shared" si="1"/>
        <v>n/a</v>
      </c>
      <c r="I26" s="332">
        <v>0</v>
      </c>
      <c r="J26" s="914" t="str">
        <f>IF(Overflow!K$6&gt;0,ROUND(I26/Overflow!K$6,6),"n/a")</f>
        <v>n/a</v>
      </c>
      <c r="K26" s="332">
        <v>0</v>
      </c>
      <c r="L26" s="914" t="str">
        <f>IF(Overflow!K$8&gt;0,ROUND(K26/Overflow!K$8,6),"n/a")</f>
        <v>n/a</v>
      </c>
      <c r="M26" s="330">
        <f>IF(Overflow!G$8+Overflow!K$6+Overflow!K$8=0,0,ROUND((IF(H26="n/a",0,H26)+IF(J26="n/a",0,J26)+IF(L26="n/a",0,L26))/N$9,6))</f>
        <v>0</v>
      </c>
      <c r="O26" s="788">
        <f>LOOKUP(C26,Cities!A$3:A$343,Cities!AA$3:AA$343)</f>
        <v>0</v>
      </c>
      <c r="P26" s="171"/>
      <c r="Q26" s="171"/>
      <c r="R26" s="171"/>
    </row>
    <row r="27" spans="1:18" s="67" customFormat="1" ht="18" customHeight="1" x14ac:dyDescent="0.2">
      <c r="A27" s="325">
        <f t="shared" si="2"/>
        <v>196</v>
      </c>
      <c r="B27" s="878"/>
      <c r="C27" s="326">
        <v>1</v>
      </c>
      <c r="D27" s="327">
        <f>LOOKUP(C27,Cities!A$3:A$343,Cities!B$3:B$343)</f>
        <v>0</v>
      </c>
      <c r="E27" s="332">
        <v>0</v>
      </c>
      <c r="F27" s="332">
        <v>0</v>
      </c>
      <c r="G27" s="331">
        <f t="shared" si="0"/>
        <v>0</v>
      </c>
      <c r="H27" s="914" t="str">
        <f t="shared" si="1"/>
        <v>n/a</v>
      </c>
      <c r="I27" s="332">
        <v>0</v>
      </c>
      <c r="J27" s="914" t="str">
        <f>IF(Overflow!K$6&gt;0,ROUND(I27/Overflow!K$6,6),"n/a")</f>
        <v>n/a</v>
      </c>
      <c r="K27" s="332">
        <v>0</v>
      </c>
      <c r="L27" s="914" t="str">
        <f>IF(Overflow!K$8&gt;0,ROUND(K27/Overflow!K$8,6),"n/a")</f>
        <v>n/a</v>
      </c>
      <c r="M27" s="330">
        <f>IF(Overflow!G$8+Overflow!K$6+Overflow!K$8=0,0,ROUND((IF(H27="n/a",0,H27)+IF(J27="n/a",0,J27)+IF(L27="n/a",0,L27))/N$9,6))</f>
        <v>0</v>
      </c>
      <c r="O27" s="788">
        <f>LOOKUP(C27,Cities!A$3:A$343,Cities!AA$3:AA$343)</f>
        <v>0</v>
      </c>
      <c r="P27" s="345"/>
      <c r="Q27" s="345"/>
      <c r="R27" s="345"/>
    </row>
    <row r="28" spans="1:18" s="67" customFormat="1" ht="18" customHeight="1" x14ac:dyDescent="0.2">
      <c r="A28" s="325">
        <f t="shared" si="2"/>
        <v>197</v>
      </c>
      <c r="B28" s="878"/>
      <c r="C28" s="326">
        <v>1</v>
      </c>
      <c r="D28" s="327">
        <f>LOOKUP(C28,Cities!A$3:A$343,Cities!B$3:B$343)</f>
        <v>0</v>
      </c>
      <c r="E28" s="332">
        <v>0</v>
      </c>
      <c r="F28" s="332">
        <v>0</v>
      </c>
      <c r="G28" s="331">
        <f t="shared" si="0"/>
        <v>0</v>
      </c>
      <c r="H28" s="914" t="str">
        <f t="shared" si="1"/>
        <v>n/a</v>
      </c>
      <c r="I28" s="332">
        <v>0</v>
      </c>
      <c r="J28" s="914" t="str">
        <f>IF(Overflow!K$6&gt;0,ROUND(I28/Overflow!K$6,6),"n/a")</f>
        <v>n/a</v>
      </c>
      <c r="K28" s="332">
        <v>0</v>
      </c>
      <c r="L28" s="914" t="str">
        <f>IF(Overflow!K$8&gt;0,ROUND(K28/Overflow!K$8,6),"n/a")</f>
        <v>n/a</v>
      </c>
      <c r="M28" s="330">
        <f>IF(Overflow!G$8+Overflow!K$6+Overflow!K$8=0,0,ROUND((IF(H28="n/a",0,H28)+IF(J28="n/a",0,J28)+IF(L28="n/a",0,L28))/N$9,6))</f>
        <v>0</v>
      </c>
      <c r="O28" s="788">
        <f>LOOKUP(C28,Cities!A$3:A$343,Cities!AA$3:AA$343)</f>
        <v>0</v>
      </c>
      <c r="P28" s="345"/>
      <c r="Q28" s="345"/>
      <c r="R28" s="345"/>
    </row>
    <row r="29" spans="1:18" s="67" customFormat="1" ht="18" customHeight="1" x14ac:dyDescent="0.2">
      <c r="A29" s="325">
        <f t="shared" si="2"/>
        <v>198</v>
      </c>
      <c r="B29" s="878"/>
      <c r="C29" s="326">
        <v>1</v>
      </c>
      <c r="D29" s="327">
        <f>LOOKUP(C29,Cities!A$3:A$343,Cities!B$3:B$343)</f>
        <v>0</v>
      </c>
      <c r="E29" s="332">
        <v>0</v>
      </c>
      <c r="F29" s="332">
        <v>0</v>
      </c>
      <c r="G29" s="331">
        <f t="shared" si="0"/>
        <v>0</v>
      </c>
      <c r="H29" s="914" t="str">
        <f t="shared" si="1"/>
        <v>n/a</v>
      </c>
      <c r="I29" s="332">
        <v>0</v>
      </c>
      <c r="J29" s="914" t="str">
        <f>IF(Overflow!K$6&gt;0,ROUND(I29/Overflow!K$6,6),"n/a")</f>
        <v>n/a</v>
      </c>
      <c r="K29" s="332">
        <v>0</v>
      </c>
      <c r="L29" s="914" t="str">
        <f>IF(Overflow!K$8&gt;0,ROUND(K29/Overflow!K$8,6),"n/a")</f>
        <v>n/a</v>
      </c>
      <c r="M29" s="330">
        <f>IF(Overflow!G$8+Overflow!K$6+Overflow!K$8=0,0,ROUND((IF(H29="n/a",0,H29)+IF(J29="n/a",0,J29)+IF(L29="n/a",0,L29))/N$9,6))</f>
        <v>0</v>
      </c>
      <c r="O29" s="788">
        <f>LOOKUP(C29,Cities!A$3:A$343,Cities!AA$3:AA$343)</f>
        <v>0</v>
      </c>
      <c r="P29" s="345"/>
      <c r="Q29" s="345"/>
      <c r="R29" s="345"/>
    </row>
    <row r="30" spans="1:18" s="67" customFormat="1" ht="18" customHeight="1" x14ac:dyDescent="0.2">
      <c r="A30" s="325">
        <f t="shared" si="2"/>
        <v>199</v>
      </c>
      <c r="B30" s="878"/>
      <c r="C30" s="326">
        <v>1</v>
      </c>
      <c r="D30" s="327">
        <f>LOOKUP(C30,Cities!A$3:A$343,Cities!B$3:B$343)</f>
        <v>0</v>
      </c>
      <c r="E30" s="332">
        <v>0</v>
      </c>
      <c r="F30" s="332">
        <v>0</v>
      </c>
      <c r="G30" s="331">
        <f t="shared" si="0"/>
        <v>0</v>
      </c>
      <c r="H30" s="914" t="str">
        <f t="shared" si="1"/>
        <v>n/a</v>
      </c>
      <c r="I30" s="332">
        <v>0</v>
      </c>
      <c r="J30" s="914" t="str">
        <f>IF(Overflow!K$6&gt;0,ROUND(I30/Overflow!K$6,6),"n/a")</f>
        <v>n/a</v>
      </c>
      <c r="K30" s="332">
        <v>0</v>
      </c>
      <c r="L30" s="914" t="str">
        <f>IF(Overflow!K$8&gt;0,ROUND(K30/Overflow!K$8,6),"n/a")</f>
        <v>n/a</v>
      </c>
      <c r="M30" s="330">
        <f>IF(Overflow!G$8+Overflow!K$6+Overflow!K$8=0,0,ROUND((IF(H30="n/a",0,H30)+IF(J30="n/a",0,J30)+IF(L30="n/a",0,L30))/N$9,6))</f>
        <v>0</v>
      </c>
      <c r="O30" s="788">
        <f>LOOKUP(C30,Cities!A$3:A$343,Cities!AA$3:AA$343)</f>
        <v>0</v>
      </c>
      <c r="P30" s="345"/>
      <c r="Q30" s="345"/>
      <c r="R30" s="345"/>
    </row>
    <row r="31" spans="1:18" s="67" customFormat="1" ht="18" customHeight="1" x14ac:dyDescent="0.2">
      <c r="A31" s="325">
        <f t="shared" si="2"/>
        <v>200</v>
      </c>
      <c r="B31" s="878"/>
      <c r="C31" s="326">
        <v>1</v>
      </c>
      <c r="D31" s="327">
        <f>LOOKUP(C31,Cities!A$3:A$343,Cities!B$3:B$343)</f>
        <v>0</v>
      </c>
      <c r="E31" s="332">
        <v>0</v>
      </c>
      <c r="F31" s="332">
        <v>0</v>
      </c>
      <c r="G31" s="331">
        <f t="shared" si="0"/>
        <v>0</v>
      </c>
      <c r="H31" s="914" t="str">
        <f t="shared" si="1"/>
        <v>n/a</v>
      </c>
      <c r="I31" s="332">
        <v>0</v>
      </c>
      <c r="J31" s="914" t="str">
        <f>IF(Overflow!K$6&gt;0,ROUND(I31/Overflow!K$6,6),"n/a")</f>
        <v>n/a</v>
      </c>
      <c r="K31" s="332">
        <v>0</v>
      </c>
      <c r="L31" s="914" t="str">
        <f>IF(Overflow!K$8&gt;0,ROUND(K31/Overflow!K$8,6),"n/a")</f>
        <v>n/a</v>
      </c>
      <c r="M31" s="330">
        <f>IF(Overflow!G$8+Overflow!K$6+Overflow!K$8=0,0,ROUND((IF(H31="n/a",0,H31)+IF(J31="n/a",0,J31)+IF(L31="n/a",0,L31))/N$9,6))</f>
        <v>0</v>
      </c>
      <c r="O31" s="788">
        <f>LOOKUP(C31,Cities!A$3:A$343,Cities!AA$3:AA$343)</f>
        <v>0</v>
      </c>
      <c r="P31" s="345"/>
      <c r="Q31" s="345"/>
      <c r="R31" s="345"/>
    </row>
    <row r="32" spans="1:18" s="67" customFormat="1" ht="18" customHeight="1" x14ac:dyDescent="0.2">
      <c r="A32" s="325">
        <f t="shared" si="2"/>
        <v>201</v>
      </c>
      <c r="B32" s="878"/>
      <c r="C32" s="326">
        <v>1</v>
      </c>
      <c r="D32" s="327">
        <f>LOOKUP(C32,Cities!A$3:A$343,Cities!B$3:B$343)</f>
        <v>0</v>
      </c>
      <c r="E32" s="332">
        <v>0</v>
      </c>
      <c r="F32" s="332">
        <v>0</v>
      </c>
      <c r="G32" s="331">
        <f t="shared" si="0"/>
        <v>0</v>
      </c>
      <c r="H32" s="914" t="str">
        <f t="shared" si="1"/>
        <v>n/a</v>
      </c>
      <c r="I32" s="332">
        <v>0</v>
      </c>
      <c r="J32" s="914" t="str">
        <f>IF(Overflow!K$6&gt;0,ROUND(I32/Overflow!K$6,6),"n/a")</f>
        <v>n/a</v>
      </c>
      <c r="K32" s="332">
        <v>0</v>
      </c>
      <c r="L32" s="914" t="str">
        <f>IF(Overflow!K$8&gt;0,ROUND(K32/Overflow!K$8,6),"n/a")</f>
        <v>n/a</v>
      </c>
      <c r="M32" s="330">
        <f>IF(Overflow!G$8+Overflow!K$6+Overflow!K$8=0,0,ROUND((IF(H32="n/a",0,H32)+IF(J32="n/a",0,J32)+IF(L32="n/a",0,L32))/N$9,6))</f>
        <v>0</v>
      </c>
      <c r="O32" s="788">
        <f>LOOKUP(C32,Cities!A$3:A$343,Cities!AA$3:AA$343)</f>
        <v>0</v>
      </c>
      <c r="P32" s="345"/>
      <c r="Q32" s="345"/>
      <c r="R32" s="345"/>
    </row>
    <row r="33" spans="1:18" s="67" customFormat="1" ht="18" customHeight="1" x14ac:dyDescent="0.2">
      <c r="A33" s="325">
        <f t="shared" si="2"/>
        <v>202</v>
      </c>
      <c r="B33" s="878"/>
      <c r="C33" s="326">
        <v>1</v>
      </c>
      <c r="D33" s="327">
        <f>LOOKUP(C33,Cities!A$3:A$343,Cities!B$3:B$343)</f>
        <v>0</v>
      </c>
      <c r="E33" s="332">
        <v>0</v>
      </c>
      <c r="F33" s="332">
        <v>0</v>
      </c>
      <c r="G33" s="331">
        <f t="shared" si="0"/>
        <v>0</v>
      </c>
      <c r="H33" s="914" t="str">
        <f t="shared" si="1"/>
        <v>n/a</v>
      </c>
      <c r="I33" s="332">
        <v>0</v>
      </c>
      <c r="J33" s="914" t="str">
        <f>IF(Overflow!K$6&gt;0,ROUND(I33/Overflow!K$6,6),"n/a")</f>
        <v>n/a</v>
      </c>
      <c r="K33" s="332">
        <v>0</v>
      </c>
      <c r="L33" s="914" t="str">
        <f>IF(Overflow!K$8&gt;0,ROUND(K33/Overflow!K$8,6),"n/a")</f>
        <v>n/a</v>
      </c>
      <c r="M33" s="330">
        <f>IF(Overflow!G$8+Overflow!K$6+Overflow!K$8=0,0,ROUND((IF(H33="n/a",0,H33)+IF(J33="n/a",0,J33)+IF(L33="n/a",0,L33))/N$9,6))</f>
        <v>0</v>
      </c>
      <c r="O33" s="788">
        <f>LOOKUP(C33,Cities!A$3:A$343,Cities!AA$3:AA$343)</f>
        <v>0</v>
      </c>
      <c r="P33" s="345"/>
      <c r="Q33" s="345"/>
      <c r="R33" s="345"/>
    </row>
    <row r="34" spans="1:18" s="67" customFormat="1" ht="18" customHeight="1" x14ac:dyDescent="0.2">
      <c r="A34" s="325">
        <f t="shared" si="2"/>
        <v>203</v>
      </c>
      <c r="B34" s="878"/>
      <c r="C34" s="326">
        <v>1</v>
      </c>
      <c r="D34" s="327">
        <f>LOOKUP(C34,Cities!A$3:A$343,Cities!B$3:B$343)</f>
        <v>0</v>
      </c>
      <c r="E34" s="332">
        <v>0</v>
      </c>
      <c r="F34" s="332">
        <v>0</v>
      </c>
      <c r="G34" s="331">
        <f t="shared" si="0"/>
        <v>0</v>
      </c>
      <c r="H34" s="914" t="str">
        <f t="shared" si="1"/>
        <v>n/a</v>
      </c>
      <c r="I34" s="332">
        <v>0</v>
      </c>
      <c r="J34" s="914" t="str">
        <f>IF(Overflow!K$6&gt;0,ROUND(I34/Overflow!K$6,6),"n/a")</f>
        <v>n/a</v>
      </c>
      <c r="K34" s="332">
        <v>0</v>
      </c>
      <c r="L34" s="914" t="str">
        <f>IF(Overflow!K$8&gt;0,ROUND(K34/Overflow!K$8,6),"n/a")</f>
        <v>n/a</v>
      </c>
      <c r="M34" s="330">
        <f>IF(Overflow!G$8+Overflow!K$6+Overflow!K$8=0,0,ROUND((IF(H34="n/a",0,H34)+IF(J34="n/a",0,J34)+IF(L34="n/a",0,L34))/N$9,6))</f>
        <v>0</v>
      </c>
      <c r="O34" s="788">
        <f>LOOKUP(C34,Cities!A$3:A$343,Cities!AA$3:AA$343)</f>
        <v>0</v>
      </c>
      <c r="P34" s="345"/>
      <c r="Q34" s="345"/>
      <c r="R34" s="345"/>
    </row>
    <row r="35" spans="1:18" s="67" customFormat="1" ht="18" customHeight="1" x14ac:dyDescent="0.2">
      <c r="A35" s="325">
        <f t="shared" si="2"/>
        <v>204</v>
      </c>
      <c r="B35" s="878"/>
      <c r="C35" s="326">
        <v>1</v>
      </c>
      <c r="D35" s="327">
        <f>LOOKUP(C35,Cities!A$3:A$343,Cities!B$3:B$343)</f>
        <v>0</v>
      </c>
      <c r="E35" s="332">
        <v>0</v>
      </c>
      <c r="F35" s="332">
        <v>0</v>
      </c>
      <c r="G35" s="331">
        <f t="shared" si="0"/>
        <v>0</v>
      </c>
      <c r="H35" s="914" t="str">
        <f t="shared" si="1"/>
        <v>n/a</v>
      </c>
      <c r="I35" s="332">
        <v>0</v>
      </c>
      <c r="J35" s="914" t="str">
        <f>IF(Overflow!K$6&gt;0,ROUND(I35/Overflow!K$6,6),"n/a")</f>
        <v>n/a</v>
      </c>
      <c r="K35" s="332">
        <v>0</v>
      </c>
      <c r="L35" s="914" t="str">
        <f>IF(Overflow!K$8&gt;0,ROUND(K35/Overflow!K$8,6),"n/a")</f>
        <v>n/a</v>
      </c>
      <c r="M35" s="330">
        <f>IF(Overflow!G$8+Overflow!K$6+Overflow!K$8=0,0,ROUND((IF(H35="n/a",0,H35)+IF(J35="n/a",0,J35)+IF(L35="n/a",0,L35))/N$9,6))</f>
        <v>0</v>
      </c>
      <c r="O35" s="788">
        <f>LOOKUP(C35,Cities!A$3:A$343,Cities!AA$3:AA$343)</f>
        <v>0</v>
      </c>
      <c r="P35" s="345"/>
      <c r="Q35" s="345"/>
      <c r="R35" s="345"/>
    </row>
    <row r="36" spans="1:18" s="67" customFormat="1" ht="18" customHeight="1" x14ac:dyDescent="0.2">
      <c r="A36" s="325">
        <f t="shared" si="2"/>
        <v>205</v>
      </c>
      <c r="B36" s="878"/>
      <c r="C36" s="326">
        <v>1</v>
      </c>
      <c r="D36" s="327">
        <f>LOOKUP(C36,Cities!A$3:A$343,Cities!B$3:B$343)</f>
        <v>0</v>
      </c>
      <c r="E36" s="332">
        <v>0</v>
      </c>
      <c r="F36" s="332">
        <v>0</v>
      </c>
      <c r="G36" s="331">
        <f t="shared" si="0"/>
        <v>0</v>
      </c>
      <c r="H36" s="914" t="str">
        <f t="shared" si="1"/>
        <v>n/a</v>
      </c>
      <c r="I36" s="332">
        <v>0</v>
      </c>
      <c r="J36" s="914" t="str">
        <f>IF(Overflow!K$6&gt;0,ROUND(I36/Overflow!K$6,6),"n/a")</f>
        <v>n/a</v>
      </c>
      <c r="K36" s="332">
        <v>0</v>
      </c>
      <c r="L36" s="914" t="str">
        <f>IF(Overflow!K$8&gt;0,ROUND(K36/Overflow!K$8,6),"n/a")</f>
        <v>n/a</v>
      </c>
      <c r="M36" s="330">
        <f>IF(Overflow!G$8+Overflow!K$6+Overflow!K$8=0,0,ROUND((IF(H36="n/a",0,H36)+IF(J36="n/a",0,J36)+IF(L36="n/a",0,L36))/N$9,6))</f>
        <v>0</v>
      </c>
      <c r="O36" s="788">
        <f>LOOKUP(C36,Cities!A$3:A$343,Cities!AA$3:AA$343)</f>
        <v>0</v>
      </c>
      <c r="P36" s="345"/>
      <c r="Q36" s="345"/>
      <c r="R36" s="345"/>
    </row>
    <row r="37" spans="1:18" s="67" customFormat="1" ht="18" customHeight="1" x14ac:dyDescent="0.2">
      <c r="A37" s="325">
        <f t="shared" si="2"/>
        <v>206</v>
      </c>
      <c r="B37" s="878"/>
      <c r="C37" s="326">
        <v>1</v>
      </c>
      <c r="D37" s="327">
        <f>LOOKUP(C37,Cities!A$3:A$343,Cities!B$3:B$343)</f>
        <v>0</v>
      </c>
      <c r="E37" s="332">
        <v>0</v>
      </c>
      <c r="F37" s="332">
        <v>0</v>
      </c>
      <c r="G37" s="331">
        <f t="shared" si="0"/>
        <v>0</v>
      </c>
      <c r="H37" s="914" t="str">
        <f t="shared" si="1"/>
        <v>n/a</v>
      </c>
      <c r="I37" s="332">
        <v>0</v>
      </c>
      <c r="J37" s="914" t="str">
        <f>IF(Overflow!K$6&gt;0,ROUND(I37/Overflow!K$6,6),"n/a")</f>
        <v>n/a</v>
      </c>
      <c r="K37" s="332">
        <v>0</v>
      </c>
      <c r="L37" s="914" t="str">
        <f>IF(Overflow!K$8&gt;0,ROUND(K37/Overflow!K$8,6),"n/a")</f>
        <v>n/a</v>
      </c>
      <c r="M37" s="330">
        <f>IF(Overflow!G$8+Overflow!K$6+Overflow!K$8=0,0,ROUND((IF(H37="n/a",0,H37)+IF(J37="n/a",0,J37)+IF(L37="n/a",0,L37))/N$9,6))</f>
        <v>0</v>
      </c>
      <c r="O37" s="788">
        <f>LOOKUP(C37,Cities!A$3:A$343,Cities!AA$3:AA$343)</f>
        <v>0</v>
      </c>
      <c r="P37" s="345"/>
      <c r="Q37" s="345"/>
      <c r="R37" s="345"/>
    </row>
    <row r="38" spans="1:18" s="67" customFormat="1" ht="18" customHeight="1" x14ac:dyDescent="0.2">
      <c r="A38" s="325">
        <f t="shared" si="2"/>
        <v>207</v>
      </c>
      <c r="B38" s="878"/>
      <c r="C38" s="326">
        <v>1</v>
      </c>
      <c r="D38" s="327">
        <f>LOOKUP(C38,Cities!A$3:A$343,Cities!B$3:B$343)</f>
        <v>0</v>
      </c>
      <c r="E38" s="332">
        <v>0</v>
      </c>
      <c r="F38" s="332">
        <v>0</v>
      </c>
      <c r="G38" s="331">
        <f t="shared" si="0"/>
        <v>0</v>
      </c>
      <c r="H38" s="914" t="str">
        <f t="shared" si="1"/>
        <v>n/a</v>
      </c>
      <c r="I38" s="332">
        <v>0</v>
      </c>
      <c r="J38" s="914" t="str">
        <f>IF(Overflow!K$6&gt;0,ROUND(I38/Overflow!K$6,6),"n/a")</f>
        <v>n/a</v>
      </c>
      <c r="K38" s="332">
        <v>0</v>
      </c>
      <c r="L38" s="914" t="str">
        <f>IF(Overflow!K$8&gt;0,ROUND(K38/Overflow!K$8,6),"n/a")</f>
        <v>n/a</v>
      </c>
      <c r="M38" s="330">
        <f>IF(Overflow!G$8+Overflow!K$6+Overflow!K$8=0,0,ROUND((IF(H38="n/a",0,H38)+IF(J38="n/a",0,J38)+IF(L38="n/a",0,L38))/N$9,6))</f>
        <v>0</v>
      </c>
      <c r="O38" s="788">
        <f>LOOKUP(C38,Cities!A$3:A$343,Cities!AA$3:AA$343)</f>
        <v>0</v>
      </c>
      <c r="P38" s="345"/>
      <c r="Q38" s="345"/>
      <c r="R38" s="345"/>
    </row>
    <row r="39" spans="1:18" s="67" customFormat="1" ht="18" customHeight="1" x14ac:dyDescent="0.2">
      <c r="A39" s="325">
        <f t="shared" si="2"/>
        <v>208</v>
      </c>
      <c r="B39" s="878"/>
      <c r="C39" s="326">
        <v>1</v>
      </c>
      <c r="D39" s="327">
        <f>LOOKUP(C39,Cities!A$3:A$343,Cities!B$3:B$343)</f>
        <v>0</v>
      </c>
      <c r="E39" s="332">
        <v>0</v>
      </c>
      <c r="F39" s="332">
        <v>0</v>
      </c>
      <c r="G39" s="331">
        <f t="shared" si="0"/>
        <v>0</v>
      </c>
      <c r="H39" s="914" t="str">
        <f t="shared" si="1"/>
        <v>n/a</v>
      </c>
      <c r="I39" s="332">
        <v>0</v>
      </c>
      <c r="J39" s="914" t="str">
        <f>IF(Overflow!K$6&gt;0,ROUND(I39/Overflow!K$6,6),"n/a")</f>
        <v>n/a</v>
      </c>
      <c r="K39" s="332">
        <v>0</v>
      </c>
      <c r="L39" s="914" t="str">
        <f>IF(Overflow!K$8&gt;0,ROUND(K39/Overflow!K$8,6),"n/a")</f>
        <v>n/a</v>
      </c>
      <c r="M39" s="330">
        <f>IF(Overflow!G$8+Overflow!K$6+Overflow!K$8=0,0,ROUND((IF(H39="n/a",0,H39)+IF(J39="n/a",0,J39)+IF(L39="n/a",0,L39))/N$9,6))</f>
        <v>0</v>
      </c>
      <c r="O39" s="788">
        <f>LOOKUP(C39,Cities!A$3:A$343,Cities!AA$3:AA$343)</f>
        <v>0</v>
      </c>
      <c r="P39" s="345"/>
      <c r="Q39" s="345"/>
      <c r="R39" s="345"/>
    </row>
    <row r="40" spans="1:18" s="67" customFormat="1" ht="18" customHeight="1" x14ac:dyDescent="0.2">
      <c r="A40" s="325">
        <f t="shared" si="2"/>
        <v>209</v>
      </c>
      <c r="B40" s="878"/>
      <c r="C40" s="326">
        <v>1</v>
      </c>
      <c r="D40" s="327">
        <f>LOOKUP(C40,Cities!A$3:A$343,Cities!B$3:B$343)</f>
        <v>0</v>
      </c>
      <c r="E40" s="332">
        <v>0</v>
      </c>
      <c r="F40" s="332">
        <v>0</v>
      </c>
      <c r="G40" s="331">
        <f t="shared" si="0"/>
        <v>0</v>
      </c>
      <c r="H40" s="914" t="str">
        <f t="shared" si="1"/>
        <v>n/a</v>
      </c>
      <c r="I40" s="332">
        <v>0</v>
      </c>
      <c r="J40" s="914" t="str">
        <f>IF(Overflow!K$6&gt;0,ROUND(I40/Overflow!K$6,6),"n/a")</f>
        <v>n/a</v>
      </c>
      <c r="K40" s="332">
        <v>0</v>
      </c>
      <c r="L40" s="914" t="str">
        <f>IF(Overflow!K$8&gt;0,ROUND(K40/Overflow!K$8,6),"n/a")</f>
        <v>n/a</v>
      </c>
      <c r="M40" s="330">
        <f>IF(Overflow!G$8+Overflow!K$6+Overflow!K$8=0,0,ROUND((IF(H40="n/a",0,H40)+IF(J40="n/a",0,J40)+IF(L40="n/a",0,L40))/N$9,6))</f>
        <v>0</v>
      </c>
      <c r="O40" s="788">
        <f>LOOKUP(C40,Cities!A$3:A$343,Cities!AA$3:AA$343)</f>
        <v>0</v>
      </c>
      <c r="P40" s="345"/>
      <c r="Q40" s="345"/>
      <c r="R40" s="345"/>
    </row>
    <row r="41" spans="1:18" s="67" customFormat="1" ht="18" customHeight="1" x14ac:dyDescent="0.2">
      <c r="A41" s="325">
        <f t="shared" si="2"/>
        <v>210</v>
      </c>
      <c r="B41" s="878"/>
      <c r="C41" s="326">
        <v>1</v>
      </c>
      <c r="D41" s="327">
        <f>LOOKUP(C41,Cities!A$3:A$343,Cities!B$3:B$343)</f>
        <v>0</v>
      </c>
      <c r="E41" s="332">
        <v>0</v>
      </c>
      <c r="F41" s="332">
        <v>0</v>
      </c>
      <c r="G41" s="331">
        <f t="shared" si="0"/>
        <v>0</v>
      </c>
      <c r="H41" s="914" t="str">
        <f t="shared" si="1"/>
        <v>n/a</v>
      </c>
      <c r="I41" s="332">
        <v>0</v>
      </c>
      <c r="J41" s="914" t="str">
        <f>IF(Overflow!K$6&gt;0,ROUND(I41/Overflow!K$6,6),"n/a")</f>
        <v>n/a</v>
      </c>
      <c r="K41" s="332">
        <v>0</v>
      </c>
      <c r="L41" s="914" t="str">
        <f>IF(Overflow!K$8&gt;0,ROUND(K41/Overflow!K$8,6),"n/a")</f>
        <v>n/a</v>
      </c>
      <c r="M41" s="330">
        <f>IF(Overflow!G$8+Overflow!K$6+Overflow!K$8=0,0,ROUND((IF(H41="n/a",0,H41)+IF(J41="n/a",0,J41)+IF(L41="n/a",0,L41))/N$9,6))</f>
        <v>0</v>
      </c>
      <c r="O41" s="788">
        <f>LOOKUP(C41,Cities!A$3:A$343,Cities!AA$3:AA$343)</f>
        <v>0</v>
      </c>
      <c r="P41" s="345"/>
      <c r="Q41" s="345"/>
      <c r="R41" s="345"/>
    </row>
    <row r="42" spans="1:18" s="67" customFormat="1" ht="18" customHeight="1" x14ac:dyDescent="0.2">
      <c r="A42" s="325">
        <f t="shared" si="2"/>
        <v>211</v>
      </c>
      <c r="B42" s="878"/>
      <c r="C42" s="326">
        <v>1</v>
      </c>
      <c r="D42" s="327">
        <f>LOOKUP(C42,Cities!A$3:A$343,Cities!B$3:B$343)</f>
        <v>0</v>
      </c>
      <c r="E42" s="332">
        <v>0</v>
      </c>
      <c r="F42" s="332">
        <v>0</v>
      </c>
      <c r="G42" s="331">
        <f t="shared" si="0"/>
        <v>0</v>
      </c>
      <c r="H42" s="914" t="str">
        <f t="shared" si="1"/>
        <v>n/a</v>
      </c>
      <c r="I42" s="332">
        <v>0</v>
      </c>
      <c r="J42" s="914" t="str">
        <f>IF(Overflow!K$6&gt;0,ROUND(I42/Overflow!K$6,6),"n/a")</f>
        <v>n/a</v>
      </c>
      <c r="K42" s="332">
        <v>0</v>
      </c>
      <c r="L42" s="914" t="str">
        <f>IF(Overflow!K$8&gt;0,ROUND(K42/Overflow!K$8,6),"n/a")</f>
        <v>n/a</v>
      </c>
      <c r="M42" s="330">
        <f>IF(Overflow!G$8+Overflow!K$6+Overflow!K$8=0,0,ROUND((IF(H42="n/a",0,H42)+IF(J42="n/a",0,J42)+IF(L42="n/a",0,L42))/N$9,6))</f>
        <v>0</v>
      </c>
      <c r="O42" s="788">
        <f>LOOKUP(C42,Cities!A$3:A$343,Cities!AA$3:AA$343)</f>
        <v>0</v>
      </c>
      <c r="P42" s="345"/>
      <c r="Q42" s="345"/>
      <c r="R42" s="345"/>
    </row>
    <row r="43" spans="1:18" s="67" customFormat="1" ht="18" customHeight="1" x14ac:dyDescent="0.2">
      <c r="A43" s="325">
        <f t="shared" si="2"/>
        <v>212</v>
      </c>
      <c r="B43" s="878"/>
      <c r="C43" s="326">
        <v>1</v>
      </c>
      <c r="D43" s="327">
        <f>LOOKUP(C43,Cities!A$3:A$343,Cities!B$3:B$343)</f>
        <v>0</v>
      </c>
      <c r="E43" s="332">
        <v>0</v>
      </c>
      <c r="F43" s="332">
        <v>0</v>
      </c>
      <c r="G43" s="331">
        <f t="shared" si="0"/>
        <v>0</v>
      </c>
      <c r="H43" s="914" t="str">
        <f t="shared" si="1"/>
        <v>n/a</v>
      </c>
      <c r="I43" s="332">
        <v>0</v>
      </c>
      <c r="J43" s="914" t="str">
        <f>IF(Overflow!K$6&gt;0,ROUND(I43/Overflow!K$6,6),"n/a")</f>
        <v>n/a</v>
      </c>
      <c r="K43" s="332">
        <v>0</v>
      </c>
      <c r="L43" s="914" t="str">
        <f>IF(Overflow!K$8&gt;0,ROUND(K43/Overflow!K$8,6),"n/a")</f>
        <v>n/a</v>
      </c>
      <c r="M43" s="330">
        <f>IF(Overflow!G$8+Overflow!K$6+Overflow!K$8=0,0,ROUND((IF(H43="n/a",0,H43)+IF(J43="n/a",0,J43)+IF(L43="n/a",0,L43))/N$9,6))</f>
        <v>0</v>
      </c>
      <c r="O43" s="788">
        <f>LOOKUP(C43,Cities!A$3:A$343,Cities!AA$3:AA$343)</f>
        <v>0</v>
      </c>
      <c r="P43" s="345"/>
      <c r="Q43" s="345"/>
      <c r="R43" s="345"/>
    </row>
    <row r="44" spans="1:18" s="67" customFormat="1" ht="18" customHeight="1" x14ac:dyDescent="0.2">
      <c r="A44" s="325">
        <f t="shared" si="2"/>
        <v>213</v>
      </c>
      <c r="B44" s="878"/>
      <c r="C44" s="326">
        <v>1</v>
      </c>
      <c r="D44" s="327">
        <f>LOOKUP(C44,Cities!A$3:A$343,Cities!B$3:B$343)</f>
        <v>0</v>
      </c>
      <c r="E44" s="332">
        <v>0</v>
      </c>
      <c r="F44" s="332">
        <v>0</v>
      </c>
      <c r="G44" s="331">
        <f t="shared" si="0"/>
        <v>0</v>
      </c>
      <c r="H44" s="914" t="str">
        <f t="shared" si="1"/>
        <v>n/a</v>
      </c>
      <c r="I44" s="332">
        <v>0</v>
      </c>
      <c r="J44" s="914" t="str">
        <f>IF(Overflow!K$6&gt;0,ROUND(I44/Overflow!K$6,6),"n/a")</f>
        <v>n/a</v>
      </c>
      <c r="K44" s="332">
        <v>0</v>
      </c>
      <c r="L44" s="914" t="str">
        <f>IF(Overflow!K$8&gt;0,ROUND(K44/Overflow!K$8,6),"n/a")</f>
        <v>n/a</v>
      </c>
      <c r="M44" s="330">
        <f>IF(Overflow!G$8+Overflow!K$6+Overflow!K$8=0,0,ROUND((IF(H44="n/a",0,H44)+IF(J44="n/a",0,J44)+IF(L44="n/a",0,L44))/N$9,6))</f>
        <v>0</v>
      </c>
      <c r="O44" s="788">
        <f>LOOKUP(C44,Cities!A$3:A$343,Cities!AA$3:AA$343)</f>
        <v>0</v>
      </c>
      <c r="P44" s="345"/>
      <c r="Q44" s="345"/>
      <c r="R44" s="345"/>
    </row>
    <row r="45" spans="1:18" s="67" customFormat="1" ht="18" customHeight="1" x14ac:dyDescent="0.2">
      <c r="A45" s="325">
        <f t="shared" si="2"/>
        <v>214</v>
      </c>
      <c r="B45" s="878"/>
      <c r="C45" s="326">
        <v>1</v>
      </c>
      <c r="D45" s="327">
        <f>LOOKUP(C45,Cities!A$3:A$343,Cities!B$3:B$343)</f>
        <v>0</v>
      </c>
      <c r="E45" s="332">
        <v>0</v>
      </c>
      <c r="F45" s="332">
        <v>0</v>
      </c>
      <c r="G45" s="331">
        <f t="shared" si="0"/>
        <v>0</v>
      </c>
      <c r="H45" s="914" t="str">
        <f t="shared" si="1"/>
        <v>n/a</v>
      </c>
      <c r="I45" s="332">
        <v>0</v>
      </c>
      <c r="J45" s="914" t="str">
        <f>IF(Overflow!K$6&gt;0,ROUND(I45/Overflow!K$6,6),"n/a")</f>
        <v>n/a</v>
      </c>
      <c r="K45" s="332">
        <v>0</v>
      </c>
      <c r="L45" s="914" t="str">
        <f>IF(Overflow!K$8&gt;0,ROUND(K45/Overflow!K$8,6),"n/a")</f>
        <v>n/a</v>
      </c>
      <c r="M45" s="330">
        <f>IF(Overflow!G$8+Overflow!K$6+Overflow!K$8=0,0,ROUND((IF(H45="n/a",0,H45)+IF(J45="n/a",0,J45)+IF(L45="n/a",0,L45))/N$9,6))</f>
        <v>0</v>
      </c>
      <c r="O45" s="788">
        <f>LOOKUP(C45,Cities!A$3:A$343,Cities!AA$3:AA$343)</f>
        <v>0</v>
      </c>
      <c r="P45" s="345"/>
      <c r="Q45" s="345"/>
      <c r="R45" s="345"/>
    </row>
    <row r="46" spans="1:18" s="67" customFormat="1" ht="18" customHeight="1" x14ac:dyDescent="0.2">
      <c r="A46" s="325">
        <f t="shared" si="2"/>
        <v>215</v>
      </c>
      <c r="B46" s="878"/>
      <c r="C46" s="326">
        <v>1</v>
      </c>
      <c r="D46" s="327">
        <f>LOOKUP(C46,Cities!A$3:A$343,Cities!B$3:B$343)</f>
        <v>0</v>
      </c>
      <c r="E46" s="332">
        <v>0</v>
      </c>
      <c r="F46" s="332">
        <v>0</v>
      </c>
      <c r="G46" s="331">
        <f t="shared" si="0"/>
        <v>0</v>
      </c>
      <c r="H46" s="914" t="str">
        <f t="shared" si="1"/>
        <v>n/a</v>
      </c>
      <c r="I46" s="332">
        <v>0</v>
      </c>
      <c r="J46" s="914" t="str">
        <f>IF(Overflow!K$6&gt;0,ROUND(I46/Overflow!K$6,6),"n/a")</f>
        <v>n/a</v>
      </c>
      <c r="K46" s="332">
        <v>0</v>
      </c>
      <c r="L46" s="914" t="str">
        <f>IF(Overflow!K$8&gt;0,ROUND(K46/Overflow!K$8,6),"n/a")</f>
        <v>n/a</v>
      </c>
      <c r="M46" s="330">
        <f>IF(Overflow!G$8+Overflow!K$6+Overflow!K$8=0,0,ROUND((IF(H46="n/a",0,H46)+IF(J46="n/a",0,J46)+IF(L46="n/a",0,L46))/N$9,6))</f>
        <v>0</v>
      </c>
      <c r="O46" s="788">
        <f>LOOKUP(C46,Cities!A$3:A$343,Cities!AA$3:AA$343)</f>
        <v>0</v>
      </c>
      <c r="P46" s="345"/>
      <c r="Q46" s="345"/>
      <c r="R46" s="345"/>
    </row>
    <row r="47" spans="1:18" s="67" customFormat="1" ht="18" customHeight="1" x14ac:dyDescent="0.2">
      <c r="A47" s="325">
        <f t="shared" si="2"/>
        <v>216</v>
      </c>
      <c r="B47" s="878"/>
      <c r="C47" s="326">
        <v>1</v>
      </c>
      <c r="D47" s="327">
        <f>LOOKUP(C47,Cities!A$3:A$343,Cities!B$3:B$343)</f>
        <v>0</v>
      </c>
      <c r="E47" s="332">
        <v>0</v>
      </c>
      <c r="F47" s="332">
        <v>0</v>
      </c>
      <c r="G47" s="331">
        <f t="shared" si="0"/>
        <v>0</v>
      </c>
      <c r="H47" s="914" t="str">
        <f t="shared" si="1"/>
        <v>n/a</v>
      </c>
      <c r="I47" s="332">
        <v>0</v>
      </c>
      <c r="J47" s="914" t="str">
        <f>IF(Overflow!K$6&gt;0,ROUND(I47/Overflow!K$6,6),"n/a")</f>
        <v>n/a</v>
      </c>
      <c r="K47" s="332">
        <v>0</v>
      </c>
      <c r="L47" s="914" t="str">
        <f>IF(Overflow!K$8&gt;0,ROUND(K47/Overflow!K$8,6),"n/a")</f>
        <v>n/a</v>
      </c>
      <c r="M47" s="330">
        <f>IF(Overflow!G$8+Overflow!K$6+Overflow!K$8=0,0,ROUND((IF(H47="n/a",0,H47)+IF(J47="n/a",0,J47)+IF(L47="n/a",0,L47))/N$9,6))</f>
        <v>0</v>
      </c>
      <c r="O47" s="788">
        <f>LOOKUP(C47,Cities!A$3:A$343,Cities!AA$3:AA$343)</f>
        <v>0</v>
      </c>
      <c r="P47" s="345"/>
      <c r="Q47" s="345"/>
      <c r="R47" s="345"/>
    </row>
    <row r="48" spans="1:18" s="67" customFormat="1" ht="18" customHeight="1" x14ac:dyDescent="0.2">
      <c r="A48" s="325">
        <f t="shared" si="2"/>
        <v>217</v>
      </c>
      <c r="B48" s="878"/>
      <c r="C48" s="326">
        <v>1</v>
      </c>
      <c r="D48" s="327">
        <f>LOOKUP(C48,Cities!A$3:A$343,Cities!B$3:B$343)</f>
        <v>0</v>
      </c>
      <c r="E48" s="332">
        <v>0</v>
      </c>
      <c r="F48" s="332">
        <v>0</v>
      </c>
      <c r="G48" s="331">
        <f t="shared" si="0"/>
        <v>0</v>
      </c>
      <c r="H48" s="914" t="str">
        <f t="shared" si="1"/>
        <v>n/a</v>
      </c>
      <c r="I48" s="332">
        <v>0</v>
      </c>
      <c r="J48" s="914" t="str">
        <f>IF(Overflow!K$6&gt;0,ROUND(I48/Overflow!K$6,6),"n/a")</f>
        <v>n/a</v>
      </c>
      <c r="K48" s="332">
        <v>0</v>
      </c>
      <c r="L48" s="914" t="str">
        <f>IF(Overflow!K$8&gt;0,ROUND(K48/Overflow!K$8,6),"n/a")</f>
        <v>n/a</v>
      </c>
      <c r="M48" s="330">
        <f>IF(Overflow!G$8+Overflow!K$6+Overflow!K$8=0,0,ROUND((IF(H48="n/a",0,H48)+IF(J48="n/a",0,J48)+IF(L48="n/a",0,L48))/N$9,6))</f>
        <v>0</v>
      </c>
      <c r="O48" s="788">
        <f>LOOKUP(C48,Cities!A$3:A$343,Cities!AA$3:AA$343)</f>
        <v>0</v>
      </c>
      <c r="P48" s="345"/>
      <c r="Q48" s="345"/>
      <c r="R48" s="345"/>
    </row>
    <row r="49" spans="1:18" s="67" customFormat="1" ht="18" customHeight="1" x14ac:dyDescent="0.2">
      <c r="A49" s="325">
        <f t="shared" si="2"/>
        <v>218</v>
      </c>
      <c r="B49" s="878"/>
      <c r="C49" s="326">
        <v>1</v>
      </c>
      <c r="D49" s="327">
        <f>LOOKUP(C49,Cities!A$3:A$343,Cities!B$3:B$343)</f>
        <v>0</v>
      </c>
      <c r="E49" s="332">
        <v>0</v>
      </c>
      <c r="F49" s="332">
        <v>0</v>
      </c>
      <c r="G49" s="331">
        <f t="shared" si="0"/>
        <v>0</v>
      </c>
      <c r="H49" s="914" t="str">
        <f t="shared" si="1"/>
        <v>n/a</v>
      </c>
      <c r="I49" s="332">
        <v>0</v>
      </c>
      <c r="J49" s="914" t="str">
        <f>IF(Overflow!K$6&gt;0,ROUND(I49/Overflow!K$6,6),"n/a")</f>
        <v>n/a</v>
      </c>
      <c r="K49" s="332">
        <v>0</v>
      </c>
      <c r="L49" s="914" t="str">
        <f>IF(Overflow!K$8&gt;0,ROUND(K49/Overflow!K$8,6),"n/a")</f>
        <v>n/a</v>
      </c>
      <c r="M49" s="330">
        <f>IF(Overflow!G$8+Overflow!K$6+Overflow!K$8=0,0,ROUND((IF(H49="n/a",0,H49)+IF(J49="n/a",0,J49)+IF(L49="n/a",0,L49))/N$9,6))</f>
        <v>0</v>
      </c>
      <c r="O49" s="788">
        <f>LOOKUP(C49,Cities!A$3:A$343,Cities!AA$3:AA$343)</f>
        <v>0</v>
      </c>
      <c r="P49" s="345"/>
      <c r="Q49" s="345"/>
      <c r="R49" s="345"/>
    </row>
    <row r="50" spans="1:18" s="67" customFormat="1" ht="18" customHeight="1" x14ac:dyDescent="0.2">
      <c r="A50" s="325">
        <f t="shared" si="2"/>
        <v>219</v>
      </c>
      <c r="B50" s="878"/>
      <c r="C50" s="326">
        <v>1</v>
      </c>
      <c r="D50" s="327">
        <f>LOOKUP(C50,Cities!A$3:A$343,Cities!B$3:B$343)</f>
        <v>0</v>
      </c>
      <c r="E50" s="332">
        <v>0</v>
      </c>
      <c r="F50" s="332">
        <v>0</v>
      </c>
      <c r="G50" s="331">
        <f t="shared" si="0"/>
        <v>0</v>
      </c>
      <c r="H50" s="914" t="str">
        <f t="shared" si="1"/>
        <v>n/a</v>
      </c>
      <c r="I50" s="332">
        <v>0</v>
      </c>
      <c r="J50" s="914" t="str">
        <f>IF(Overflow!K$6&gt;0,ROUND(I50/Overflow!K$6,6),"n/a")</f>
        <v>n/a</v>
      </c>
      <c r="K50" s="332">
        <v>0</v>
      </c>
      <c r="L50" s="914" t="str">
        <f>IF(Overflow!K$8&gt;0,ROUND(K50/Overflow!K$8,6),"n/a")</f>
        <v>n/a</v>
      </c>
      <c r="M50" s="330">
        <f>IF(Overflow!G$8+Overflow!K$6+Overflow!K$8=0,0,ROUND((IF(H50="n/a",0,H50)+IF(J50="n/a",0,J50)+IF(L50="n/a",0,L50))/N$9,6))</f>
        <v>0</v>
      </c>
      <c r="O50" s="788">
        <f>LOOKUP(C50,Cities!A$3:A$343,Cities!AA$3:AA$343)</f>
        <v>0</v>
      </c>
      <c r="P50" s="345"/>
      <c r="Q50" s="345"/>
      <c r="R50" s="345"/>
    </row>
    <row r="51" spans="1:18" s="67" customFormat="1" ht="18" customHeight="1" x14ac:dyDescent="0.2">
      <c r="A51" s="325">
        <f t="shared" si="2"/>
        <v>220</v>
      </c>
      <c r="B51" s="878"/>
      <c r="C51" s="326">
        <v>1</v>
      </c>
      <c r="D51" s="327">
        <f>LOOKUP(C51,Cities!A$3:A$343,Cities!B$3:B$343)</f>
        <v>0</v>
      </c>
      <c r="E51" s="332">
        <v>0</v>
      </c>
      <c r="F51" s="332">
        <v>0</v>
      </c>
      <c r="G51" s="331">
        <f t="shared" si="0"/>
        <v>0</v>
      </c>
      <c r="H51" s="914" t="str">
        <f t="shared" si="1"/>
        <v>n/a</v>
      </c>
      <c r="I51" s="332">
        <v>0</v>
      </c>
      <c r="J51" s="914" t="str">
        <f>IF(Overflow!K$6&gt;0,ROUND(I51/Overflow!K$6,6),"n/a")</f>
        <v>n/a</v>
      </c>
      <c r="K51" s="332">
        <v>0</v>
      </c>
      <c r="L51" s="914" t="str">
        <f>IF(Overflow!K$8&gt;0,ROUND(K51/Overflow!K$8,6),"n/a")</f>
        <v>n/a</v>
      </c>
      <c r="M51" s="330">
        <f>IF(Overflow!G$8+Overflow!K$6+Overflow!K$8=0,0,ROUND((IF(H51="n/a",0,H51)+IF(J51="n/a",0,J51)+IF(L51="n/a",0,L51))/N$9,6))</f>
        <v>0</v>
      </c>
      <c r="O51" s="788">
        <f>LOOKUP(C51,Cities!A$3:A$343,Cities!AA$3:AA$343)</f>
        <v>0</v>
      </c>
      <c r="P51" s="345"/>
      <c r="Q51" s="345"/>
      <c r="R51" s="345"/>
    </row>
    <row r="52" spans="1:18" s="67" customFormat="1" ht="18" customHeight="1" x14ac:dyDescent="0.2">
      <c r="A52" s="325">
        <f t="shared" si="2"/>
        <v>221</v>
      </c>
      <c r="B52" s="878"/>
      <c r="C52" s="326">
        <v>1</v>
      </c>
      <c r="D52" s="327">
        <f>LOOKUP(C52,Cities!A$3:A$343,Cities!B$3:B$343)</f>
        <v>0</v>
      </c>
      <c r="E52" s="332">
        <v>0</v>
      </c>
      <c r="F52" s="332">
        <v>0</v>
      </c>
      <c r="G52" s="331">
        <f t="shared" si="0"/>
        <v>0</v>
      </c>
      <c r="H52" s="914" t="str">
        <f t="shared" si="1"/>
        <v>n/a</v>
      </c>
      <c r="I52" s="332">
        <v>0</v>
      </c>
      <c r="J52" s="914" t="str">
        <f>IF(Overflow!K$6&gt;0,ROUND(I52/Overflow!K$6,6),"n/a")</f>
        <v>n/a</v>
      </c>
      <c r="K52" s="332">
        <v>0</v>
      </c>
      <c r="L52" s="914" t="str">
        <f>IF(Overflow!K$8&gt;0,ROUND(K52/Overflow!K$8,6),"n/a")</f>
        <v>n/a</v>
      </c>
      <c r="M52" s="330">
        <f>IF(Overflow!G$8+Overflow!K$6+Overflow!K$8=0,0,ROUND((IF(H52="n/a",0,H52)+IF(J52="n/a",0,J52)+IF(L52="n/a",0,L52))/N$9,6))</f>
        <v>0</v>
      </c>
      <c r="O52" s="788">
        <f>LOOKUP(C52,Cities!A$3:A$343,Cities!AA$3:AA$343)</f>
        <v>0</v>
      </c>
      <c r="P52" s="345"/>
      <c r="Q52" s="345"/>
      <c r="R52" s="345"/>
    </row>
    <row r="53" spans="1:18" s="67" customFormat="1" ht="18" customHeight="1" x14ac:dyDescent="0.2">
      <c r="A53" s="325">
        <f t="shared" si="2"/>
        <v>222</v>
      </c>
      <c r="B53" s="878"/>
      <c r="C53" s="326">
        <v>1</v>
      </c>
      <c r="D53" s="327">
        <f>LOOKUP(C53,Cities!A$3:A$343,Cities!B$3:B$343)</f>
        <v>0</v>
      </c>
      <c r="E53" s="332">
        <v>0</v>
      </c>
      <c r="F53" s="332">
        <v>0</v>
      </c>
      <c r="G53" s="331">
        <f t="shared" si="0"/>
        <v>0</v>
      </c>
      <c r="H53" s="914" t="str">
        <f t="shared" si="1"/>
        <v>n/a</v>
      </c>
      <c r="I53" s="332">
        <v>0</v>
      </c>
      <c r="J53" s="914" t="str">
        <f>IF(Overflow!K$6&gt;0,ROUND(I53/Overflow!K$6,6),"n/a")</f>
        <v>n/a</v>
      </c>
      <c r="K53" s="332">
        <v>0</v>
      </c>
      <c r="L53" s="914" t="str">
        <f>IF(Overflow!K$8&gt;0,ROUND(K53/Overflow!K$8,6),"n/a")</f>
        <v>n/a</v>
      </c>
      <c r="M53" s="330">
        <f>IF(Overflow!G$8+Overflow!K$6+Overflow!K$8=0,0,ROUND((IF(H53="n/a",0,H53)+IF(J53="n/a",0,J53)+IF(L53="n/a",0,L53))/N$9,6))</f>
        <v>0</v>
      </c>
      <c r="O53" s="788">
        <f>LOOKUP(C53,Cities!A$3:A$343,Cities!AA$3:AA$343)</f>
        <v>0</v>
      </c>
      <c r="P53" s="345"/>
      <c r="Q53" s="345"/>
      <c r="R53" s="345"/>
    </row>
    <row r="54" spans="1:18" s="67" customFormat="1" ht="18" customHeight="1" x14ac:dyDescent="0.2">
      <c r="A54" s="325">
        <f t="shared" si="2"/>
        <v>223</v>
      </c>
      <c r="B54" s="878"/>
      <c r="C54" s="326">
        <v>1</v>
      </c>
      <c r="D54" s="327">
        <f>LOOKUP(C54,Cities!A$3:A$343,Cities!B$3:B$343)</f>
        <v>0</v>
      </c>
      <c r="E54" s="332">
        <v>0</v>
      </c>
      <c r="F54" s="332">
        <v>0</v>
      </c>
      <c r="G54" s="331">
        <f t="shared" si="0"/>
        <v>0</v>
      </c>
      <c r="H54" s="914" t="str">
        <f t="shared" si="1"/>
        <v>n/a</v>
      </c>
      <c r="I54" s="332">
        <v>0</v>
      </c>
      <c r="J54" s="914" t="str">
        <f>IF(Overflow!K$6&gt;0,ROUND(I54/Overflow!K$6,6),"n/a")</f>
        <v>n/a</v>
      </c>
      <c r="K54" s="332">
        <v>0</v>
      </c>
      <c r="L54" s="914" t="str">
        <f>IF(Overflow!K$8&gt;0,ROUND(K54/Overflow!K$8,6),"n/a")</f>
        <v>n/a</v>
      </c>
      <c r="M54" s="330">
        <f>IF(Overflow!G$8+Overflow!K$6+Overflow!K$8=0,0,ROUND((IF(H54="n/a",0,H54)+IF(J54="n/a",0,J54)+IF(L54="n/a",0,L54))/N$9,6))</f>
        <v>0</v>
      </c>
      <c r="O54" s="788">
        <f>LOOKUP(C54,Cities!A$3:A$343,Cities!AA$3:AA$343)</f>
        <v>0</v>
      </c>
      <c r="P54" s="345"/>
      <c r="Q54" s="345"/>
      <c r="R54" s="345"/>
    </row>
    <row r="55" spans="1:18" s="67" customFormat="1" ht="18" customHeight="1" x14ac:dyDescent="0.2">
      <c r="A55" s="325">
        <f t="shared" si="2"/>
        <v>224</v>
      </c>
      <c r="B55" s="878"/>
      <c r="C55" s="326">
        <v>1</v>
      </c>
      <c r="D55" s="327">
        <f>LOOKUP(C55,Cities!A$3:A$343,Cities!B$3:B$343)</f>
        <v>0</v>
      </c>
      <c r="E55" s="332">
        <v>0</v>
      </c>
      <c r="F55" s="332">
        <v>0</v>
      </c>
      <c r="G55" s="331">
        <f t="shared" si="0"/>
        <v>0</v>
      </c>
      <c r="H55" s="914" t="str">
        <f t="shared" si="1"/>
        <v>n/a</v>
      </c>
      <c r="I55" s="332">
        <v>0</v>
      </c>
      <c r="J55" s="914" t="str">
        <f>IF(Overflow!K$6&gt;0,ROUND(I55/Overflow!K$6,6),"n/a")</f>
        <v>n/a</v>
      </c>
      <c r="K55" s="332">
        <v>0</v>
      </c>
      <c r="L55" s="914" t="str">
        <f>IF(Overflow!K$8&gt;0,ROUND(K55/Overflow!K$8,6),"n/a")</f>
        <v>n/a</v>
      </c>
      <c r="M55" s="330">
        <f>IF(Overflow!G$8+Overflow!K$6+Overflow!K$8=0,0,ROUND((IF(H55="n/a",0,H55)+IF(J55="n/a",0,J55)+IF(L55="n/a",0,L55))/N$9,6))</f>
        <v>0</v>
      </c>
      <c r="O55" s="788">
        <f>LOOKUP(C55,Cities!A$3:A$343,Cities!AA$3:AA$343)</f>
        <v>0</v>
      </c>
      <c r="P55" s="345"/>
      <c r="Q55" s="345"/>
      <c r="R55" s="345"/>
    </row>
    <row r="56" spans="1:18" s="67" customFormat="1" ht="18" customHeight="1" x14ac:dyDescent="0.2">
      <c r="A56" s="325">
        <f t="shared" si="2"/>
        <v>225</v>
      </c>
      <c r="B56" s="878"/>
      <c r="C56" s="326">
        <v>1</v>
      </c>
      <c r="D56" s="327">
        <f>LOOKUP(C56,Cities!A$3:A$343,Cities!B$3:B$343)</f>
        <v>0</v>
      </c>
      <c r="E56" s="332">
        <v>0</v>
      </c>
      <c r="F56" s="332">
        <v>0</v>
      </c>
      <c r="G56" s="331">
        <f t="shared" si="0"/>
        <v>0</v>
      </c>
      <c r="H56" s="914" t="str">
        <f t="shared" si="1"/>
        <v>n/a</v>
      </c>
      <c r="I56" s="332">
        <v>0</v>
      </c>
      <c r="J56" s="914" t="str">
        <f>IF(Overflow!K$6&gt;0,ROUND(I56/Overflow!K$6,6),"n/a")</f>
        <v>n/a</v>
      </c>
      <c r="K56" s="332">
        <v>0</v>
      </c>
      <c r="L56" s="914" t="str">
        <f>IF(Overflow!K$8&gt;0,ROUND(K56/Overflow!K$8,6),"n/a")</f>
        <v>n/a</v>
      </c>
      <c r="M56" s="330">
        <f>IF(Overflow!G$8+Overflow!K$6+Overflow!K$8=0,0,ROUND((IF(H56="n/a",0,H56)+IF(J56="n/a",0,J56)+IF(L56="n/a",0,L56))/N$9,6))</f>
        <v>0</v>
      </c>
      <c r="O56" s="788">
        <f>LOOKUP(C56,Cities!A$3:A$343,Cities!AA$3:AA$343)</f>
        <v>0</v>
      </c>
      <c r="P56" s="345"/>
      <c r="Q56" s="345"/>
      <c r="R56" s="345"/>
    </row>
    <row r="57" spans="1:18" s="67" customFormat="1" ht="18" customHeight="1" x14ac:dyDescent="0.2">
      <c r="M57" s="341">
        <f>SUM(M12:M56)</f>
        <v>0</v>
      </c>
      <c r="O57" s="345"/>
      <c r="P57" s="345"/>
      <c r="Q57" s="345"/>
      <c r="R57" s="345"/>
    </row>
    <row r="58" spans="1:18" s="67" customFormat="1" ht="12.75" customHeight="1" x14ac:dyDescent="0.2">
      <c r="B58" s="851"/>
      <c r="K58" s="1567" t="s">
        <v>1669</v>
      </c>
      <c r="O58" s="345"/>
      <c r="P58" s="345"/>
      <c r="Q58" s="345"/>
      <c r="R58" s="345"/>
    </row>
    <row r="59" spans="1:18" s="1" customFormat="1" ht="30" customHeight="1" x14ac:dyDescent="0.4">
      <c r="A59" s="1372" t="s">
        <v>372</v>
      </c>
      <c r="B59" s="1540"/>
      <c r="C59" s="216"/>
      <c r="D59" s="1541" t="s">
        <v>373</v>
      </c>
      <c r="E59" s="1338"/>
      <c r="F59" s="1338"/>
      <c r="G59" s="1338"/>
      <c r="H59" s="1338"/>
      <c r="I59" s="1338"/>
      <c r="J59" s="1338"/>
      <c r="K59" s="1560"/>
      <c r="L59" s="1380">
        <f>+L1</f>
        <v>2018</v>
      </c>
      <c r="M59" s="1381"/>
      <c r="O59" s="344"/>
      <c r="P59" s="344"/>
      <c r="Q59" s="344"/>
      <c r="R59" s="344"/>
    </row>
    <row r="60" spans="1:18" s="1" customFormat="1" ht="15.75" customHeight="1" x14ac:dyDescent="0.2">
      <c r="A60" s="1545" t="s">
        <v>159</v>
      </c>
      <c r="B60" s="1546"/>
      <c r="C60" s="217"/>
      <c r="D60" s="1557"/>
      <c r="E60" s="1558"/>
      <c r="F60" s="1558"/>
      <c r="G60" s="1558"/>
      <c r="H60" s="1558"/>
      <c r="I60" s="1558"/>
      <c r="J60" s="1558"/>
      <c r="K60" s="878"/>
      <c r="L60" s="1382" t="str">
        <f>+'Complete This Page'!J1</f>
        <v>NPAC v2018.0</v>
      </c>
      <c r="M60" s="1383"/>
      <c r="O60" s="291"/>
      <c r="P60" s="344"/>
      <c r="Q60" s="344"/>
      <c r="R60" s="344"/>
    </row>
    <row r="61" spans="1:18" s="1" customFormat="1" x14ac:dyDescent="0.2">
      <c r="A61" s="1" t="s">
        <v>467</v>
      </c>
      <c r="B61" s="879"/>
      <c r="C61" s="879"/>
      <c r="D61" s="879"/>
      <c r="E61" s="879"/>
      <c r="F61" s="879"/>
      <c r="G61" s="879"/>
      <c r="H61" s="879"/>
      <c r="I61" s="880"/>
      <c r="J61" s="334"/>
      <c r="K61" s="335" t="s">
        <v>466</v>
      </c>
      <c r="O61" s="291"/>
      <c r="P61" s="344"/>
      <c r="Q61" s="344"/>
      <c r="R61" s="344"/>
    </row>
    <row r="62" spans="1:18" s="1" customFormat="1" ht="18" x14ac:dyDescent="0.25">
      <c r="A62" s="881"/>
      <c r="B62" s="1377">
        <f>+B4</f>
        <v>0</v>
      </c>
      <c r="C62" s="1377"/>
      <c r="D62" s="1377"/>
      <c r="E62" s="1377"/>
      <c r="F62" s="1377"/>
      <c r="G62" s="1377"/>
      <c r="H62" s="1377"/>
      <c r="I62" s="1377"/>
      <c r="J62" s="1378"/>
      <c r="K62" s="1350">
        <f>+K4</f>
        <v>0</v>
      </c>
      <c r="L62" s="1351"/>
      <c r="M62" s="1351"/>
      <c r="O62" s="291"/>
      <c r="P62" s="344"/>
      <c r="Q62" s="344"/>
      <c r="R62" s="344"/>
    </row>
    <row r="63" spans="1:18" x14ac:dyDescent="0.2">
      <c r="A63" s="328"/>
      <c r="O63" s="786"/>
      <c r="P63" s="171"/>
      <c r="Q63" s="171"/>
      <c r="R63" s="171"/>
    </row>
    <row r="64" spans="1:18" ht="47.25" customHeight="1" x14ac:dyDescent="0.2">
      <c r="B64" s="322"/>
      <c r="C64" s="1"/>
      <c r="D64" s="1547" t="s">
        <v>588</v>
      </c>
      <c r="E64" s="1547" t="s">
        <v>1684</v>
      </c>
      <c r="F64" s="1547" t="s">
        <v>1690</v>
      </c>
      <c r="G64" s="1553" t="s">
        <v>1685</v>
      </c>
      <c r="H64" s="1554"/>
      <c r="I64" s="1553" t="s">
        <v>1689</v>
      </c>
      <c r="J64" s="1554"/>
      <c r="K64" s="21"/>
      <c r="L64" s="1539"/>
      <c r="M64" s="1123"/>
      <c r="O64" s="1565"/>
      <c r="P64" s="171"/>
      <c r="Q64" s="171"/>
      <c r="R64" s="171"/>
    </row>
    <row r="65" spans="1:18" x14ac:dyDescent="0.2">
      <c r="B65" s="323" t="s">
        <v>618</v>
      </c>
      <c r="C65" s="324" t="s">
        <v>164</v>
      </c>
      <c r="D65" s="1548"/>
      <c r="E65" s="1552"/>
      <c r="F65" s="1552"/>
      <c r="G65" s="1555"/>
      <c r="H65" s="1556"/>
      <c r="I65" s="1555"/>
      <c r="J65" s="1556"/>
      <c r="K65" s="22" t="s">
        <v>561</v>
      </c>
      <c r="L65" s="1064" t="s">
        <v>562</v>
      </c>
      <c r="M65" s="1549"/>
      <c r="O65" s="1565"/>
      <c r="P65" s="171"/>
      <c r="Q65" s="171"/>
      <c r="R65" s="171"/>
    </row>
    <row r="66" spans="1:18" ht="15" x14ac:dyDescent="0.2">
      <c r="A66" s="325">
        <v>181</v>
      </c>
      <c r="B66" s="336" t="str">
        <f>IF(C66=1,"",LOOKUP(C66,Cities!A$3:A$343,Cities!C$3:C$343))</f>
        <v/>
      </c>
      <c r="C66" s="338">
        <f t="shared" ref="C66:D81" si="3">+C12</f>
        <v>1</v>
      </c>
      <c r="D66" s="337">
        <f t="shared" si="3"/>
        <v>0</v>
      </c>
      <c r="E66" s="812">
        <f>ROUND('Print Return'!$L$37*'Overflow (5)'!M12,0)</f>
        <v>0</v>
      </c>
      <c r="F66" s="955"/>
      <c r="G66" s="1524"/>
      <c r="H66" s="1524"/>
      <c r="I66" s="1525">
        <f>IF(Data!D$33=TRUE,'Overflows Worksheet'!K204,'Overflows Worksheet'!T204)</f>
        <v>0</v>
      </c>
      <c r="J66" s="1525"/>
      <c r="K66" s="853">
        <f>LOOKUP(C12,Cities!A$3:A$343,Cities!D$3:D$343)</f>
        <v>0</v>
      </c>
      <c r="L66" s="1522">
        <f>IF(AND(I66&gt;0, OR(I66*K66&gt;10,$L$1&lt;2016)),ROUND(I66*K66,0),0)</f>
        <v>0</v>
      </c>
      <c r="M66" s="1523"/>
      <c r="N66" s="339">
        <f>LOOKUP($C12,Cities!$A$3:$A$356,Cities!$V$3:$V$356)</f>
        <v>0</v>
      </c>
      <c r="O66" s="936" t="str">
        <f>IF(AND(ISNUMBER($L$1)=TRUE,ISNUMBER(O12)=TRUE,O12&gt;=$L$1-5), CONCATENATE("Last 0% tax rate year ", O12),"")</f>
        <v/>
      </c>
      <c r="P66" s="785"/>
      <c r="Q66" s="785">
        <f>IF(P66=FALSE,F66,0)</f>
        <v>0</v>
      </c>
      <c r="R66" s="171"/>
    </row>
    <row r="67" spans="1:18" ht="15" x14ac:dyDescent="0.2">
      <c r="A67" s="325">
        <f>A66+1</f>
        <v>182</v>
      </c>
      <c r="B67" s="336" t="str">
        <f>IF(C67=1,"",LOOKUP(C67,Cities!A$3:A$343,Cities!C$3:C$343))</f>
        <v/>
      </c>
      <c r="C67" s="338">
        <f t="shared" si="3"/>
        <v>1</v>
      </c>
      <c r="D67" s="337">
        <f t="shared" si="3"/>
        <v>0</v>
      </c>
      <c r="E67" s="812">
        <f>ROUND('Print Return'!$L$37*'Overflow (5)'!M13,0)</f>
        <v>0</v>
      </c>
      <c r="F67" s="955"/>
      <c r="G67" s="1524"/>
      <c r="H67" s="1524"/>
      <c r="I67" s="1525">
        <f>IF(Data!D$33=TRUE,'Overflows Worksheet'!K205,'Overflows Worksheet'!T205)</f>
        <v>0</v>
      </c>
      <c r="J67" s="1525"/>
      <c r="K67" s="853">
        <f>LOOKUP(C13,Cities!A$3:A$343,Cities!D$3:D$343)</f>
        <v>0</v>
      </c>
      <c r="L67" s="1522">
        <f t="shared" ref="L67:L110" si="4">IF(AND(I67&gt;0, OR(I67*K67&gt;10,$L$1&lt;2016)),ROUND(I67*K67,0),0)</f>
        <v>0</v>
      </c>
      <c r="M67" s="1523"/>
      <c r="N67" s="339">
        <f>LOOKUP($C13,Cities!$A$3:$A$356,Cities!$V$3:$V$356)</f>
        <v>0</v>
      </c>
      <c r="O67" s="936" t="str">
        <f t="shared" ref="O67:O110" si="5">IF(AND(ISNUMBER($L$1)=TRUE,ISNUMBER(O13)=TRUE,O13&gt;=$L$1-5), CONCATENATE("Last 0% tax rate year ", O13),"")</f>
        <v/>
      </c>
      <c r="P67" s="785" t="b">
        <v>0</v>
      </c>
      <c r="Q67" s="785">
        <f t="shared" ref="Q67:Q110" si="6">IF(P67=FALSE,F67,0)</f>
        <v>0</v>
      </c>
      <c r="R67" s="171"/>
    </row>
    <row r="68" spans="1:18" ht="15" x14ac:dyDescent="0.2">
      <c r="A68" s="325">
        <f t="shared" ref="A68:A110" si="7">A67+1</f>
        <v>183</v>
      </c>
      <c r="B68" s="336" t="str">
        <f>IF(C68=1,"",LOOKUP(C68,Cities!A$3:A$343,Cities!C$3:C$343))</f>
        <v/>
      </c>
      <c r="C68" s="338">
        <f t="shared" si="3"/>
        <v>1</v>
      </c>
      <c r="D68" s="337">
        <f t="shared" si="3"/>
        <v>0</v>
      </c>
      <c r="E68" s="812">
        <f>ROUND('Print Return'!$L$37*'Overflow (5)'!M14,0)</f>
        <v>0</v>
      </c>
      <c r="F68" s="955"/>
      <c r="G68" s="1524"/>
      <c r="H68" s="1524"/>
      <c r="I68" s="1525">
        <f>IF(Data!D$33=TRUE,'Overflows Worksheet'!K206,'Overflows Worksheet'!T206)</f>
        <v>0</v>
      </c>
      <c r="J68" s="1525"/>
      <c r="K68" s="853">
        <f>LOOKUP(C14,Cities!A$3:A$343,Cities!D$3:D$343)</f>
        <v>0</v>
      </c>
      <c r="L68" s="1522">
        <f t="shared" si="4"/>
        <v>0</v>
      </c>
      <c r="M68" s="1523"/>
      <c r="N68" s="339">
        <f>LOOKUP($C14,Cities!$A$3:$A$356,Cities!$V$3:$V$356)</f>
        <v>0</v>
      </c>
      <c r="O68" s="936" t="str">
        <f t="shared" si="5"/>
        <v/>
      </c>
      <c r="P68" s="785" t="b">
        <v>0</v>
      </c>
      <c r="Q68" s="785">
        <f t="shared" si="6"/>
        <v>0</v>
      </c>
      <c r="R68" s="171"/>
    </row>
    <row r="69" spans="1:18" ht="15" x14ac:dyDescent="0.2">
      <c r="A69" s="325">
        <f t="shared" si="7"/>
        <v>184</v>
      </c>
      <c r="B69" s="336" t="str">
        <f>IF(C69=1,"",LOOKUP(C69,Cities!A$3:A$343,Cities!C$3:C$343))</f>
        <v/>
      </c>
      <c r="C69" s="338">
        <f t="shared" si="3"/>
        <v>1</v>
      </c>
      <c r="D69" s="337">
        <f t="shared" si="3"/>
        <v>0</v>
      </c>
      <c r="E69" s="812">
        <f>ROUND('Print Return'!$L$37*'Overflow (5)'!M15,0)</f>
        <v>0</v>
      </c>
      <c r="F69" s="955"/>
      <c r="G69" s="1524"/>
      <c r="H69" s="1524"/>
      <c r="I69" s="1525">
        <f>IF(Data!D$33=TRUE,'Overflows Worksheet'!K207,'Overflows Worksheet'!T207)</f>
        <v>0</v>
      </c>
      <c r="J69" s="1525"/>
      <c r="K69" s="853">
        <f>LOOKUP(C15,Cities!A$3:A$343,Cities!D$3:D$343)</f>
        <v>0</v>
      </c>
      <c r="L69" s="1522">
        <f t="shared" si="4"/>
        <v>0</v>
      </c>
      <c r="M69" s="1523"/>
      <c r="N69" s="339">
        <f>LOOKUP($C15,Cities!$A$3:$A$356,Cities!$V$3:$V$356)</f>
        <v>0</v>
      </c>
      <c r="O69" s="936" t="str">
        <f t="shared" si="5"/>
        <v/>
      </c>
      <c r="P69" s="785" t="b">
        <v>0</v>
      </c>
      <c r="Q69" s="785">
        <f t="shared" si="6"/>
        <v>0</v>
      </c>
      <c r="R69" s="171"/>
    </row>
    <row r="70" spans="1:18" ht="15" x14ac:dyDescent="0.2">
      <c r="A70" s="325">
        <f t="shared" si="7"/>
        <v>185</v>
      </c>
      <c r="B70" s="336" t="str">
        <f>IF(C70=1,"",LOOKUP(C70,Cities!A$3:A$343,Cities!C$3:C$343))</f>
        <v/>
      </c>
      <c r="C70" s="338">
        <f t="shared" si="3"/>
        <v>1</v>
      </c>
      <c r="D70" s="337">
        <f t="shared" si="3"/>
        <v>0</v>
      </c>
      <c r="E70" s="812">
        <f>ROUND('Print Return'!$L$37*'Overflow (5)'!M16,0)</f>
        <v>0</v>
      </c>
      <c r="F70" s="955"/>
      <c r="G70" s="1524"/>
      <c r="H70" s="1524"/>
      <c r="I70" s="1525">
        <f>IF(Data!D$33=TRUE,'Overflows Worksheet'!K208,'Overflows Worksheet'!T208)</f>
        <v>0</v>
      </c>
      <c r="J70" s="1525"/>
      <c r="K70" s="853">
        <f>LOOKUP(C16,Cities!A$3:A$343,Cities!D$3:D$343)</f>
        <v>0</v>
      </c>
      <c r="L70" s="1522">
        <f t="shared" si="4"/>
        <v>0</v>
      </c>
      <c r="M70" s="1523"/>
      <c r="N70" s="339">
        <f>LOOKUP($C16,Cities!$A$3:$A$356,Cities!$V$3:$V$356)</f>
        <v>0</v>
      </c>
      <c r="O70" s="936" t="str">
        <f t="shared" si="5"/>
        <v/>
      </c>
      <c r="P70" s="785" t="b">
        <v>0</v>
      </c>
      <c r="Q70" s="785">
        <f t="shared" si="6"/>
        <v>0</v>
      </c>
      <c r="R70" s="171"/>
    </row>
    <row r="71" spans="1:18" ht="15" x14ac:dyDescent="0.2">
      <c r="A71" s="325">
        <f t="shared" si="7"/>
        <v>186</v>
      </c>
      <c r="B71" s="336" t="str">
        <f>IF(C71=1,"",LOOKUP(C71,Cities!A$3:A$343,Cities!C$3:C$343))</f>
        <v/>
      </c>
      <c r="C71" s="338">
        <f t="shared" si="3"/>
        <v>1</v>
      </c>
      <c r="D71" s="337">
        <f t="shared" si="3"/>
        <v>0</v>
      </c>
      <c r="E71" s="812">
        <f>ROUND('Print Return'!$L$37*'Overflow (5)'!M17,0)</f>
        <v>0</v>
      </c>
      <c r="F71" s="955"/>
      <c r="G71" s="1524"/>
      <c r="H71" s="1524"/>
      <c r="I71" s="1525">
        <f>IF(Data!D$33=TRUE,'Overflows Worksheet'!K209,'Overflows Worksheet'!T209)</f>
        <v>0</v>
      </c>
      <c r="J71" s="1525"/>
      <c r="K71" s="853">
        <f>LOOKUP(C17,Cities!A$3:A$343,Cities!D$3:D$343)</f>
        <v>0</v>
      </c>
      <c r="L71" s="1522">
        <f t="shared" si="4"/>
        <v>0</v>
      </c>
      <c r="M71" s="1523"/>
      <c r="N71" s="339">
        <f>LOOKUP($C17,Cities!$A$3:$A$356,Cities!$V$3:$V$356)</f>
        <v>0</v>
      </c>
      <c r="O71" s="936" t="str">
        <f t="shared" si="5"/>
        <v/>
      </c>
      <c r="P71" s="785" t="b">
        <v>0</v>
      </c>
      <c r="Q71" s="785">
        <f t="shared" si="6"/>
        <v>0</v>
      </c>
      <c r="R71" s="171"/>
    </row>
    <row r="72" spans="1:18" ht="15" x14ac:dyDescent="0.2">
      <c r="A72" s="325">
        <f t="shared" si="7"/>
        <v>187</v>
      </c>
      <c r="B72" s="336" t="str">
        <f>IF(C72=1,"",LOOKUP(C72,Cities!A$3:A$343,Cities!C$3:C$343))</f>
        <v/>
      </c>
      <c r="C72" s="338">
        <f t="shared" si="3"/>
        <v>1</v>
      </c>
      <c r="D72" s="337">
        <f t="shared" si="3"/>
        <v>0</v>
      </c>
      <c r="E72" s="812">
        <f>ROUND('Print Return'!$L$37*'Overflow (5)'!M18,0)</f>
        <v>0</v>
      </c>
      <c r="F72" s="955"/>
      <c r="G72" s="1524"/>
      <c r="H72" s="1524"/>
      <c r="I72" s="1525">
        <f>IF(Data!D$33=TRUE,'Overflows Worksheet'!K210,'Overflows Worksheet'!T210)</f>
        <v>0</v>
      </c>
      <c r="J72" s="1525"/>
      <c r="K72" s="853">
        <f>LOOKUP(C18,Cities!A$3:A$343,Cities!D$3:D$343)</f>
        <v>0</v>
      </c>
      <c r="L72" s="1522">
        <f t="shared" si="4"/>
        <v>0</v>
      </c>
      <c r="M72" s="1523"/>
      <c r="N72" s="339">
        <f>LOOKUP($C18,Cities!$A$3:$A$356,Cities!$V$3:$V$356)</f>
        <v>0</v>
      </c>
      <c r="O72" s="936" t="str">
        <f t="shared" si="5"/>
        <v/>
      </c>
      <c r="P72" s="785" t="b">
        <v>0</v>
      </c>
      <c r="Q72" s="785">
        <f t="shared" si="6"/>
        <v>0</v>
      </c>
      <c r="R72" s="171"/>
    </row>
    <row r="73" spans="1:18" ht="15" x14ac:dyDescent="0.2">
      <c r="A73" s="325">
        <f t="shared" si="7"/>
        <v>188</v>
      </c>
      <c r="B73" s="336" t="str">
        <f>IF(C73=1,"",LOOKUP(C73,Cities!A$3:A$343,Cities!C$3:C$343))</f>
        <v/>
      </c>
      <c r="C73" s="338">
        <f t="shared" si="3"/>
        <v>1</v>
      </c>
      <c r="D73" s="337">
        <f t="shared" si="3"/>
        <v>0</v>
      </c>
      <c r="E73" s="812">
        <f>ROUND('Print Return'!$L$37*'Overflow (5)'!M19,0)</f>
        <v>0</v>
      </c>
      <c r="F73" s="955"/>
      <c r="G73" s="1524"/>
      <c r="H73" s="1524"/>
      <c r="I73" s="1525">
        <f>IF(Data!D$33=TRUE,'Overflows Worksheet'!K211,'Overflows Worksheet'!T211)</f>
        <v>0</v>
      </c>
      <c r="J73" s="1525"/>
      <c r="K73" s="853">
        <f>LOOKUP(C19,Cities!A$3:A$343,Cities!D$3:D$343)</f>
        <v>0</v>
      </c>
      <c r="L73" s="1522">
        <f t="shared" si="4"/>
        <v>0</v>
      </c>
      <c r="M73" s="1523"/>
      <c r="N73" s="339">
        <f>LOOKUP($C19,Cities!$A$3:$A$356,Cities!$V$3:$V$356)</f>
        <v>0</v>
      </c>
      <c r="O73" s="936" t="str">
        <f t="shared" si="5"/>
        <v/>
      </c>
      <c r="P73" s="785" t="b">
        <v>0</v>
      </c>
      <c r="Q73" s="785">
        <f t="shared" si="6"/>
        <v>0</v>
      </c>
      <c r="R73" s="171"/>
    </row>
    <row r="74" spans="1:18" ht="15" x14ac:dyDescent="0.2">
      <c r="A74" s="325">
        <f t="shared" si="7"/>
        <v>189</v>
      </c>
      <c r="B74" s="336" t="str">
        <f>IF(C74=1,"",LOOKUP(C74,Cities!A$3:A$343,Cities!C$3:C$343))</f>
        <v/>
      </c>
      <c r="C74" s="338">
        <f t="shared" si="3"/>
        <v>1</v>
      </c>
      <c r="D74" s="337">
        <f t="shared" si="3"/>
        <v>0</v>
      </c>
      <c r="E74" s="812">
        <f>ROUND('Print Return'!$L$37*'Overflow (5)'!M20,0)</f>
        <v>0</v>
      </c>
      <c r="F74" s="955"/>
      <c r="G74" s="1524"/>
      <c r="H74" s="1524"/>
      <c r="I74" s="1525">
        <f>IF(Data!D$33=TRUE,'Overflows Worksheet'!K212,'Overflows Worksheet'!T212)</f>
        <v>0</v>
      </c>
      <c r="J74" s="1525"/>
      <c r="K74" s="853">
        <f>LOOKUP(C20,Cities!A$3:A$343,Cities!D$3:D$343)</f>
        <v>0</v>
      </c>
      <c r="L74" s="1522">
        <f t="shared" si="4"/>
        <v>0</v>
      </c>
      <c r="M74" s="1523"/>
      <c r="N74" s="339">
        <f>LOOKUP($C20,Cities!$A$3:$A$356,Cities!$V$3:$V$356)</f>
        <v>0</v>
      </c>
      <c r="O74" s="936" t="str">
        <f t="shared" si="5"/>
        <v/>
      </c>
      <c r="P74" s="785" t="b">
        <v>0</v>
      </c>
      <c r="Q74" s="785">
        <f t="shared" si="6"/>
        <v>0</v>
      </c>
      <c r="R74" s="171"/>
    </row>
    <row r="75" spans="1:18" ht="15" x14ac:dyDescent="0.2">
      <c r="A75" s="325">
        <f t="shared" si="7"/>
        <v>190</v>
      </c>
      <c r="B75" s="336" t="str">
        <f>IF(C75=1,"",LOOKUP(C75,Cities!A$3:A$343,Cities!C$3:C$343))</f>
        <v/>
      </c>
      <c r="C75" s="338">
        <f t="shared" si="3"/>
        <v>1</v>
      </c>
      <c r="D75" s="337">
        <f t="shared" si="3"/>
        <v>0</v>
      </c>
      <c r="E75" s="812">
        <f>ROUND('Print Return'!$L$37*'Overflow (5)'!M21,0)</f>
        <v>0</v>
      </c>
      <c r="F75" s="955"/>
      <c r="G75" s="1524"/>
      <c r="H75" s="1524"/>
      <c r="I75" s="1525">
        <f>IF(Data!D$33=TRUE,'Overflows Worksheet'!K213,'Overflows Worksheet'!T213)</f>
        <v>0</v>
      </c>
      <c r="J75" s="1525"/>
      <c r="K75" s="853">
        <f>LOOKUP(C21,Cities!A$3:A$343,Cities!D$3:D$343)</f>
        <v>0</v>
      </c>
      <c r="L75" s="1522">
        <f t="shared" si="4"/>
        <v>0</v>
      </c>
      <c r="M75" s="1523"/>
      <c r="N75" s="339">
        <f>LOOKUP($C21,Cities!$A$3:$A$356,Cities!$V$3:$V$356)</f>
        <v>0</v>
      </c>
      <c r="O75" s="936" t="str">
        <f t="shared" si="5"/>
        <v/>
      </c>
      <c r="P75" s="785" t="b">
        <v>0</v>
      </c>
      <c r="Q75" s="785">
        <f t="shared" si="6"/>
        <v>0</v>
      </c>
      <c r="R75" s="171"/>
    </row>
    <row r="76" spans="1:18" ht="15" x14ac:dyDescent="0.2">
      <c r="A76" s="325">
        <f t="shared" si="7"/>
        <v>191</v>
      </c>
      <c r="B76" s="336" t="str">
        <f>IF(C76=1,"",LOOKUP(C76,Cities!A$3:A$343,Cities!C$3:C$343))</f>
        <v/>
      </c>
      <c r="C76" s="338">
        <f t="shared" si="3"/>
        <v>1</v>
      </c>
      <c r="D76" s="337">
        <f t="shared" si="3"/>
        <v>0</v>
      </c>
      <c r="E76" s="812">
        <f>ROUND('Print Return'!$L$37*'Overflow (5)'!M22,0)</f>
        <v>0</v>
      </c>
      <c r="F76" s="955"/>
      <c r="G76" s="1524"/>
      <c r="H76" s="1524"/>
      <c r="I76" s="1525">
        <f>IF(Data!D$33=TRUE,'Overflows Worksheet'!K214,'Overflows Worksheet'!T214)</f>
        <v>0</v>
      </c>
      <c r="J76" s="1525"/>
      <c r="K76" s="853">
        <f>LOOKUP(C22,Cities!A$3:A$343,Cities!D$3:D$343)</f>
        <v>0</v>
      </c>
      <c r="L76" s="1522">
        <f t="shared" si="4"/>
        <v>0</v>
      </c>
      <c r="M76" s="1523"/>
      <c r="N76" s="339">
        <f>LOOKUP($C22,Cities!$A$3:$A$356,Cities!$V$3:$V$356)</f>
        <v>0</v>
      </c>
      <c r="O76" s="936" t="str">
        <f t="shared" si="5"/>
        <v/>
      </c>
      <c r="P76" s="785" t="b">
        <v>0</v>
      </c>
      <c r="Q76" s="785">
        <f t="shared" si="6"/>
        <v>0</v>
      </c>
      <c r="R76" s="171"/>
    </row>
    <row r="77" spans="1:18" ht="15" x14ac:dyDescent="0.2">
      <c r="A77" s="325">
        <f t="shared" si="7"/>
        <v>192</v>
      </c>
      <c r="B77" s="336" t="str">
        <f>IF(C77=1,"",LOOKUP(C77,Cities!A$3:A$343,Cities!C$3:C$343))</f>
        <v/>
      </c>
      <c r="C77" s="338">
        <f t="shared" si="3"/>
        <v>1</v>
      </c>
      <c r="D77" s="337">
        <f t="shared" si="3"/>
        <v>0</v>
      </c>
      <c r="E77" s="812">
        <f>ROUND('Print Return'!$L$37*'Overflow (5)'!M23,0)</f>
        <v>0</v>
      </c>
      <c r="F77" s="955"/>
      <c r="G77" s="1524"/>
      <c r="H77" s="1524"/>
      <c r="I77" s="1525">
        <f>IF(Data!D$33=TRUE,'Overflows Worksheet'!K215,'Overflows Worksheet'!T215)</f>
        <v>0</v>
      </c>
      <c r="J77" s="1525"/>
      <c r="K77" s="853">
        <f>LOOKUP(C23,Cities!A$3:A$343,Cities!D$3:D$343)</f>
        <v>0</v>
      </c>
      <c r="L77" s="1522">
        <f t="shared" si="4"/>
        <v>0</v>
      </c>
      <c r="M77" s="1523"/>
      <c r="N77" s="339">
        <f>LOOKUP($C23,Cities!$A$3:$A$356,Cities!$V$3:$V$356)</f>
        <v>0</v>
      </c>
      <c r="O77" s="936" t="str">
        <f t="shared" si="5"/>
        <v/>
      </c>
      <c r="P77" s="785" t="b">
        <v>0</v>
      </c>
      <c r="Q77" s="785">
        <f t="shared" si="6"/>
        <v>0</v>
      </c>
      <c r="R77" s="171"/>
    </row>
    <row r="78" spans="1:18" ht="15" x14ac:dyDescent="0.2">
      <c r="A78" s="325">
        <f t="shared" si="7"/>
        <v>193</v>
      </c>
      <c r="B78" s="336" t="str">
        <f>IF(C78=1,"",LOOKUP(C78,Cities!A$3:A$343,Cities!C$3:C$343))</f>
        <v/>
      </c>
      <c r="C78" s="338">
        <f t="shared" si="3"/>
        <v>1</v>
      </c>
      <c r="D78" s="337">
        <f t="shared" si="3"/>
        <v>0</v>
      </c>
      <c r="E78" s="812">
        <f>ROUND('Print Return'!$L$37*'Overflow (5)'!M24,0)</f>
        <v>0</v>
      </c>
      <c r="F78" s="955"/>
      <c r="G78" s="1524"/>
      <c r="H78" s="1524"/>
      <c r="I78" s="1525">
        <f>IF(Data!D$33=TRUE,'Overflows Worksheet'!K216,'Overflows Worksheet'!T216)</f>
        <v>0</v>
      </c>
      <c r="J78" s="1525"/>
      <c r="K78" s="853">
        <f>LOOKUP(C24,Cities!A$3:A$343,Cities!D$3:D$343)</f>
        <v>0</v>
      </c>
      <c r="L78" s="1522">
        <f t="shared" si="4"/>
        <v>0</v>
      </c>
      <c r="M78" s="1523"/>
      <c r="N78" s="339">
        <f>LOOKUP($C24,Cities!$A$3:$A$356,Cities!$V$3:$V$356)</f>
        <v>0</v>
      </c>
      <c r="O78" s="936" t="str">
        <f t="shared" si="5"/>
        <v/>
      </c>
      <c r="P78" s="785" t="b">
        <v>0</v>
      </c>
      <c r="Q78" s="785">
        <f t="shared" si="6"/>
        <v>0</v>
      </c>
      <c r="R78" s="171"/>
    </row>
    <row r="79" spans="1:18" ht="15" x14ac:dyDescent="0.2">
      <c r="A79" s="325">
        <f t="shared" si="7"/>
        <v>194</v>
      </c>
      <c r="B79" s="336" t="str">
        <f>IF(C79=1,"",LOOKUP(C79,Cities!A$3:A$343,Cities!C$3:C$343))</f>
        <v/>
      </c>
      <c r="C79" s="338">
        <f t="shared" si="3"/>
        <v>1</v>
      </c>
      <c r="D79" s="337">
        <f t="shared" si="3"/>
        <v>0</v>
      </c>
      <c r="E79" s="812">
        <f>ROUND('Print Return'!$L$37*'Overflow (5)'!M25,0)</f>
        <v>0</v>
      </c>
      <c r="F79" s="955"/>
      <c r="G79" s="1524"/>
      <c r="H79" s="1524"/>
      <c r="I79" s="1525">
        <f>IF(Data!D$33=TRUE,'Overflows Worksheet'!K217,'Overflows Worksheet'!T217)</f>
        <v>0</v>
      </c>
      <c r="J79" s="1525"/>
      <c r="K79" s="853">
        <f>LOOKUP(C25,Cities!A$3:A$343,Cities!D$3:D$343)</f>
        <v>0</v>
      </c>
      <c r="L79" s="1522">
        <f t="shared" si="4"/>
        <v>0</v>
      </c>
      <c r="M79" s="1523"/>
      <c r="N79" s="339">
        <f>LOOKUP($C25,Cities!$A$3:$A$356,Cities!$V$3:$V$356)</f>
        <v>0</v>
      </c>
      <c r="O79" s="936" t="str">
        <f t="shared" si="5"/>
        <v/>
      </c>
      <c r="P79" s="785" t="b">
        <v>0</v>
      </c>
      <c r="Q79" s="785">
        <f t="shared" si="6"/>
        <v>0</v>
      </c>
      <c r="R79" s="171"/>
    </row>
    <row r="80" spans="1:18" ht="15" x14ac:dyDescent="0.2">
      <c r="A80" s="325">
        <f t="shared" si="7"/>
        <v>195</v>
      </c>
      <c r="B80" s="336" t="str">
        <f>IF(C80=1,"",LOOKUP(C80,Cities!A$3:A$343,Cities!C$3:C$343))</f>
        <v/>
      </c>
      <c r="C80" s="338">
        <f t="shared" si="3"/>
        <v>1</v>
      </c>
      <c r="D80" s="337">
        <f t="shared" si="3"/>
        <v>0</v>
      </c>
      <c r="E80" s="812">
        <f>ROUND('Print Return'!$L$37*'Overflow (5)'!M26,0)</f>
        <v>0</v>
      </c>
      <c r="F80" s="955"/>
      <c r="G80" s="1524"/>
      <c r="H80" s="1524"/>
      <c r="I80" s="1525">
        <f>IF(Data!D$33=TRUE,'Overflows Worksheet'!K218,'Overflows Worksheet'!T218)</f>
        <v>0</v>
      </c>
      <c r="J80" s="1525"/>
      <c r="K80" s="853">
        <f>LOOKUP(C26,Cities!A$3:A$343,Cities!D$3:D$343)</f>
        <v>0</v>
      </c>
      <c r="L80" s="1522">
        <f t="shared" si="4"/>
        <v>0</v>
      </c>
      <c r="M80" s="1523"/>
      <c r="N80" s="339">
        <f>LOOKUP($C26,Cities!$A$3:$A$356,Cities!$V$3:$V$356)</f>
        <v>0</v>
      </c>
      <c r="O80" s="936" t="str">
        <f t="shared" si="5"/>
        <v/>
      </c>
      <c r="P80" s="785" t="b">
        <v>0</v>
      </c>
      <c r="Q80" s="785">
        <f t="shared" si="6"/>
        <v>0</v>
      </c>
      <c r="R80" s="171"/>
    </row>
    <row r="81" spans="1:18" ht="15" x14ac:dyDescent="0.2">
      <c r="A81" s="325">
        <f t="shared" si="7"/>
        <v>196</v>
      </c>
      <c r="B81" s="336" t="str">
        <f>IF(C81=1,"",LOOKUP(C81,Cities!A$3:A$343,Cities!C$3:C$343))</f>
        <v/>
      </c>
      <c r="C81" s="338">
        <f t="shared" si="3"/>
        <v>1</v>
      </c>
      <c r="D81" s="337">
        <f t="shared" si="3"/>
        <v>0</v>
      </c>
      <c r="E81" s="812">
        <f>ROUND('Print Return'!$L$37*'Overflow (5)'!M27,0)</f>
        <v>0</v>
      </c>
      <c r="F81" s="955"/>
      <c r="G81" s="1524"/>
      <c r="H81" s="1524"/>
      <c r="I81" s="1525">
        <f>IF(Data!D$33=TRUE,'Overflows Worksheet'!K219,'Overflows Worksheet'!T219)</f>
        <v>0</v>
      </c>
      <c r="J81" s="1525"/>
      <c r="K81" s="853">
        <f>LOOKUP(C27,Cities!A$3:A$343,Cities!D$3:D$343)</f>
        <v>0</v>
      </c>
      <c r="L81" s="1522">
        <f t="shared" si="4"/>
        <v>0</v>
      </c>
      <c r="M81" s="1523"/>
      <c r="N81" s="339">
        <f>LOOKUP($C27,Cities!$A$3:$A$356,Cities!$V$3:$V$356)</f>
        <v>0</v>
      </c>
      <c r="O81" s="936" t="str">
        <f t="shared" si="5"/>
        <v/>
      </c>
      <c r="P81" s="785" t="b">
        <v>0</v>
      </c>
      <c r="Q81" s="785">
        <f t="shared" si="6"/>
        <v>0</v>
      </c>
      <c r="R81" s="171"/>
    </row>
    <row r="82" spans="1:18" ht="15" x14ac:dyDescent="0.2">
      <c r="A82" s="325">
        <f t="shared" si="7"/>
        <v>197</v>
      </c>
      <c r="B82" s="336" t="str">
        <f>IF(C82=1,"",LOOKUP(C82,Cities!A$3:A$343,Cities!C$3:C$343))</f>
        <v/>
      </c>
      <c r="C82" s="338">
        <f t="shared" ref="C82:D97" si="8">+C28</f>
        <v>1</v>
      </c>
      <c r="D82" s="337">
        <f t="shared" si="8"/>
        <v>0</v>
      </c>
      <c r="E82" s="812">
        <f>ROUND('Print Return'!$L$37*'Overflow (5)'!M28,0)</f>
        <v>0</v>
      </c>
      <c r="F82" s="955"/>
      <c r="G82" s="1524"/>
      <c r="H82" s="1524"/>
      <c r="I82" s="1525">
        <f>IF(Data!D$33=TRUE,'Overflows Worksheet'!K220,'Overflows Worksheet'!T220)</f>
        <v>0</v>
      </c>
      <c r="J82" s="1525"/>
      <c r="K82" s="853">
        <f>LOOKUP(C28,Cities!A$3:A$343,Cities!D$3:D$343)</f>
        <v>0</v>
      </c>
      <c r="L82" s="1522">
        <f t="shared" si="4"/>
        <v>0</v>
      </c>
      <c r="M82" s="1523"/>
      <c r="N82" s="339">
        <f>LOOKUP($C28,Cities!$A$3:$A$356,Cities!$V$3:$V$356)</f>
        <v>0</v>
      </c>
      <c r="O82" s="936" t="str">
        <f t="shared" si="5"/>
        <v/>
      </c>
      <c r="P82" s="785" t="b">
        <v>0</v>
      </c>
      <c r="Q82" s="785">
        <f t="shared" si="6"/>
        <v>0</v>
      </c>
      <c r="R82" s="171"/>
    </row>
    <row r="83" spans="1:18" ht="15" x14ac:dyDescent="0.2">
      <c r="A83" s="325">
        <f t="shared" si="7"/>
        <v>198</v>
      </c>
      <c r="B83" s="336" t="str">
        <f>IF(C83=1,"",LOOKUP(C83,Cities!A$3:A$343,Cities!C$3:C$343))</f>
        <v/>
      </c>
      <c r="C83" s="338">
        <f t="shared" si="8"/>
        <v>1</v>
      </c>
      <c r="D83" s="337">
        <f t="shared" si="8"/>
        <v>0</v>
      </c>
      <c r="E83" s="812">
        <f>ROUND('Print Return'!$L$37*'Overflow (5)'!M29,0)</f>
        <v>0</v>
      </c>
      <c r="F83" s="955"/>
      <c r="G83" s="1524"/>
      <c r="H83" s="1524"/>
      <c r="I83" s="1525">
        <f>IF(Data!D$33=TRUE,'Overflows Worksheet'!K221,'Overflows Worksheet'!T221)</f>
        <v>0</v>
      </c>
      <c r="J83" s="1525"/>
      <c r="K83" s="853">
        <f>LOOKUP(C29,Cities!A$3:A$343,Cities!D$3:D$343)</f>
        <v>0</v>
      </c>
      <c r="L83" s="1522">
        <f t="shared" si="4"/>
        <v>0</v>
      </c>
      <c r="M83" s="1523"/>
      <c r="N83" s="339">
        <f>LOOKUP($C29,Cities!$A$3:$A$356,Cities!$V$3:$V$356)</f>
        <v>0</v>
      </c>
      <c r="O83" s="936" t="str">
        <f t="shared" si="5"/>
        <v/>
      </c>
      <c r="P83" s="785" t="b">
        <v>0</v>
      </c>
      <c r="Q83" s="785">
        <f t="shared" si="6"/>
        <v>0</v>
      </c>
      <c r="R83" s="171"/>
    </row>
    <row r="84" spans="1:18" ht="15" x14ac:dyDescent="0.2">
      <c r="A84" s="325">
        <f t="shared" si="7"/>
        <v>199</v>
      </c>
      <c r="B84" s="336" t="str">
        <f>IF(C84=1,"",LOOKUP(C84,Cities!A$3:A$343,Cities!C$3:C$343))</f>
        <v/>
      </c>
      <c r="C84" s="338">
        <f t="shared" si="8"/>
        <v>1</v>
      </c>
      <c r="D84" s="337">
        <f t="shared" si="8"/>
        <v>0</v>
      </c>
      <c r="E84" s="812">
        <f>ROUND('Print Return'!$L$37*'Overflow (5)'!M30,0)</f>
        <v>0</v>
      </c>
      <c r="F84" s="955"/>
      <c r="G84" s="1524"/>
      <c r="H84" s="1524"/>
      <c r="I84" s="1525">
        <f>IF(Data!D$33=TRUE,'Overflows Worksheet'!K222,'Overflows Worksheet'!T222)</f>
        <v>0</v>
      </c>
      <c r="J84" s="1525"/>
      <c r="K84" s="853">
        <f>LOOKUP(C30,Cities!A$3:A$343,Cities!D$3:D$343)</f>
        <v>0</v>
      </c>
      <c r="L84" s="1522">
        <f t="shared" si="4"/>
        <v>0</v>
      </c>
      <c r="M84" s="1523"/>
      <c r="N84" s="339">
        <f>LOOKUP($C30,Cities!$A$3:$A$356,Cities!$V$3:$V$356)</f>
        <v>0</v>
      </c>
      <c r="O84" s="936" t="str">
        <f t="shared" si="5"/>
        <v/>
      </c>
      <c r="P84" s="785" t="b">
        <v>0</v>
      </c>
      <c r="Q84" s="785">
        <f t="shared" si="6"/>
        <v>0</v>
      </c>
      <c r="R84" s="171"/>
    </row>
    <row r="85" spans="1:18" ht="15" x14ac:dyDescent="0.2">
      <c r="A85" s="325">
        <f t="shared" si="7"/>
        <v>200</v>
      </c>
      <c r="B85" s="336" t="str">
        <f>IF(C85=1,"",LOOKUP(C85,Cities!A$3:A$343,Cities!C$3:C$343))</f>
        <v/>
      </c>
      <c r="C85" s="338">
        <f t="shared" si="8"/>
        <v>1</v>
      </c>
      <c r="D85" s="337">
        <f t="shared" si="8"/>
        <v>0</v>
      </c>
      <c r="E85" s="812">
        <f>ROUND('Print Return'!$L$37*'Overflow (5)'!M31,0)</f>
        <v>0</v>
      </c>
      <c r="F85" s="955"/>
      <c r="G85" s="1524"/>
      <c r="H85" s="1524"/>
      <c r="I85" s="1525">
        <f>IF(Data!D$33=TRUE,'Overflows Worksheet'!K223,'Overflows Worksheet'!T223)</f>
        <v>0</v>
      </c>
      <c r="J85" s="1525"/>
      <c r="K85" s="853">
        <f>LOOKUP(C31,Cities!A$3:A$343,Cities!D$3:D$343)</f>
        <v>0</v>
      </c>
      <c r="L85" s="1522">
        <f t="shared" si="4"/>
        <v>0</v>
      </c>
      <c r="M85" s="1523"/>
      <c r="N85" s="339">
        <f>LOOKUP($C31,Cities!$A$3:$A$356,Cities!$V$3:$V$356)</f>
        <v>0</v>
      </c>
      <c r="O85" s="936" t="str">
        <f t="shared" si="5"/>
        <v/>
      </c>
      <c r="P85" s="785" t="b">
        <v>0</v>
      </c>
      <c r="Q85" s="785">
        <f t="shared" si="6"/>
        <v>0</v>
      </c>
      <c r="R85" s="171"/>
    </row>
    <row r="86" spans="1:18" ht="15" x14ac:dyDescent="0.2">
      <c r="A86" s="325">
        <f t="shared" si="7"/>
        <v>201</v>
      </c>
      <c r="B86" s="336" t="str">
        <f>IF(C86=1,"",LOOKUP(C86,Cities!A$3:A$343,Cities!C$3:C$343))</f>
        <v/>
      </c>
      <c r="C86" s="338">
        <f t="shared" si="8"/>
        <v>1</v>
      </c>
      <c r="D86" s="337">
        <f t="shared" si="8"/>
        <v>0</v>
      </c>
      <c r="E86" s="812">
        <f>ROUND('Print Return'!$L$37*'Overflow (5)'!M32,0)</f>
        <v>0</v>
      </c>
      <c r="F86" s="955"/>
      <c r="G86" s="1524"/>
      <c r="H86" s="1524"/>
      <c r="I86" s="1525">
        <f>IF(Data!D$33=TRUE,'Overflows Worksheet'!K224,'Overflows Worksheet'!T224)</f>
        <v>0</v>
      </c>
      <c r="J86" s="1525"/>
      <c r="K86" s="853">
        <f>LOOKUP(C32,Cities!A$3:A$343,Cities!D$3:D$343)</f>
        <v>0</v>
      </c>
      <c r="L86" s="1522">
        <f t="shared" si="4"/>
        <v>0</v>
      </c>
      <c r="M86" s="1523"/>
      <c r="N86" s="339">
        <f>LOOKUP($C32,Cities!$A$3:$A$356,Cities!$V$3:$V$356)</f>
        <v>0</v>
      </c>
      <c r="O86" s="936" t="str">
        <f t="shared" si="5"/>
        <v/>
      </c>
      <c r="P86" s="785" t="b">
        <v>0</v>
      </c>
      <c r="Q86" s="785">
        <f t="shared" si="6"/>
        <v>0</v>
      </c>
      <c r="R86" s="171"/>
    </row>
    <row r="87" spans="1:18" ht="15" x14ac:dyDescent="0.2">
      <c r="A87" s="325">
        <f t="shared" si="7"/>
        <v>202</v>
      </c>
      <c r="B87" s="336" t="str">
        <f>IF(C87=1,"",LOOKUP(C87,Cities!A$3:A$343,Cities!C$3:C$343))</f>
        <v/>
      </c>
      <c r="C87" s="338">
        <f t="shared" si="8"/>
        <v>1</v>
      </c>
      <c r="D87" s="337">
        <f t="shared" si="8"/>
        <v>0</v>
      </c>
      <c r="E87" s="812">
        <f>ROUND('Print Return'!$L$37*'Overflow (5)'!M33,0)</f>
        <v>0</v>
      </c>
      <c r="F87" s="955"/>
      <c r="G87" s="1524"/>
      <c r="H87" s="1524"/>
      <c r="I87" s="1525">
        <f>IF(Data!D$33=TRUE,'Overflows Worksheet'!K225,'Overflows Worksheet'!T225)</f>
        <v>0</v>
      </c>
      <c r="J87" s="1525"/>
      <c r="K87" s="853">
        <f>LOOKUP(C33,Cities!A$3:A$343,Cities!D$3:D$343)</f>
        <v>0</v>
      </c>
      <c r="L87" s="1522">
        <f t="shared" si="4"/>
        <v>0</v>
      </c>
      <c r="M87" s="1523"/>
      <c r="N87" s="339">
        <f>LOOKUP($C33,Cities!$A$3:$A$356,Cities!$V$3:$V$356)</f>
        <v>0</v>
      </c>
      <c r="O87" s="936" t="str">
        <f t="shared" si="5"/>
        <v/>
      </c>
      <c r="P87" s="785" t="b">
        <v>0</v>
      </c>
      <c r="Q87" s="785">
        <f t="shared" si="6"/>
        <v>0</v>
      </c>
      <c r="R87" s="171"/>
    </row>
    <row r="88" spans="1:18" ht="15" x14ac:dyDescent="0.2">
      <c r="A88" s="325">
        <f t="shared" si="7"/>
        <v>203</v>
      </c>
      <c r="B88" s="336" t="str">
        <f>IF(C88=1,"",LOOKUP(C88,Cities!A$3:A$343,Cities!C$3:C$343))</f>
        <v/>
      </c>
      <c r="C88" s="338">
        <f t="shared" si="8"/>
        <v>1</v>
      </c>
      <c r="D88" s="337">
        <f t="shared" si="8"/>
        <v>0</v>
      </c>
      <c r="E88" s="812">
        <f>ROUND('Print Return'!$L$37*'Overflow (5)'!M34,0)</f>
        <v>0</v>
      </c>
      <c r="F88" s="955"/>
      <c r="G88" s="1524"/>
      <c r="H88" s="1524"/>
      <c r="I88" s="1525">
        <f>IF(Data!D$33=TRUE,'Overflows Worksheet'!K226,'Overflows Worksheet'!T226)</f>
        <v>0</v>
      </c>
      <c r="J88" s="1525"/>
      <c r="K88" s="853">
        <f>LOOKUP(C34,Cities!A$3:A$343,Cities!D$3:D$343)</f>
        <v>0</v>
      </c>
      <c r="L88" s="1522">
        <f t="shared" si="4"/>
        <v>0</v>
      </c>
      <c r="M88" s="1523"/>
      <c r="N88" s="339">
        <f>LOOKUP($C34,Cities!$A$3:$A$356,Cities!$V$3:$V$356)</f>
        <v>0</v>
      </c>
      <c r="O88" s="936" t="str">
        <f t="shared" si="5"/>
        <v/>
      </c>
      <c r="P88" s="785" t="b">
        <v>0</v>
      </c>
      <c r="Q88" s="785">
        <f t="shared" si="6"/>
        <v>0</v>
      </c>
      <c r="R88" s="171"/>
    </row>
    <row r="89" spans="1:18" ht="15" x14ac:dyDescent="0.2">
      <c r="A89" s="325">
        <f t="shared" si="7"/>
        <v>204</v>
      </c>
      <c r="B89" s="336" t="str">
        <f>IF(C89=1,"",LOOKUP(C89,Cities!A$3:A$343,Cities!C$3:C$343))</f>
        <v/>
      </c>
      <c r="C89" s="338">
        <f t="shared" si="8"/>
        <v>1</v>
      </c>
      <c r="D89" s="337">
        <f t="shared" si="8"/>
        <v>0</v>
      </c>
      <c r="E89" s="812">
        <f>ROUND('Print Return'!$L$37*'Overflow (5)'!M35,0)</f>
        <v>0</v>
      </c>
      <c r="F89" s="955"/>
      <c r="G89" s="1524"/>
      <c r="H89" s="1524"/>
      <c r="I89" s="1525">
        <f>IF(Data!D$33=TRUE,'Overflows Worksheet'!K227,'Overflows Worksheet'!T227)</f>
        <v>0</v>
      </c>
      <c r="J89" s="1525"/>
      <c r="K89" s="853">
        <f>LOOKUP(C35,Cities!A$3:A$343,Cities!D$3:D$343)</f>
        <v>0</v>
      </c>
      <c r="L89" s="1522">
        <f t="shared" si="4"/>
        <v>0</v>
      </c>
      <c r="M89" s="1523"/>
      <c r="N89" s="339">
        <f>LOOKUP($C35,Cities!$A$3:$A$356,Cities!$V$3:$V$356)</f>
        <v>0</v>
      </c>
      <c r="O89" s="936" t="str">
        <f t="shared" si="5"/>
        <v/>
      </c>
      <c r="P89" s="785" t="b">
        <v>0</v>
      </c>
      <c r="Q89" s="785">
        <f t="shared" si="6"/>
        <v>0</v>
      </c>
      <c r="R89" s="171"/>
    </row>
    <row r="90" spans="1:18" ht="15" x14ac:dyDescent="0.2">
      <c r="A90" s="325">
        <f t="shared" si="7"/>
        <v>205</v>
      </c>
      <c r="B90" s="336" t="str">
        <f>IF(C90=1,"",LOOKUP(C90,Cities!A$3:A$343,Cities!C$3:C$343))</f>
        <v/>
      </c>
      <c r="C90" s="338">
        <f t="shared" si="8"/>
        <v>1</v>
      </c>
      <c r="D90" s="337">
        <f t="shared" si="8"/>
        <v>0</v>
      </c>
      <c r="E90" s="812">
        <f>ROUND('Print Return'!$L$37*'Overflow (5)'!M36,0)</f>
        <v>0</v>
      </c>
      <c r="F90" s="955"/>
      <c r="G90" s="1524"/>
      <c r="H90" s="1524"/>
      <c r="I90" s="1525">
        <f>IF(Data!D$33=TRUE,'Overflows Worksheet'!K228,'Overflows Worksheet'!T228)</f>
        <v>0</v>
      </c>
      <c r="J90" s="1525"/>
      <c r="K90" s="853">
        <f>LOOKUP(C36,Cities!A$3:A$343,Cities!D$3:D$343)</f>
        <v>0</v>
      </c>
      <c r="L90" s="1522">
        <f t="shared" si="4"/>
        <v>0</v>
      </c>
      <c r="M90" s="1523"/>
      <c r="N90" s="339">
        <f>LOOKUP($C36,Cities!$A$3:$A$356,Cities!$V$3:$V$356)</f>
        <v>0</v>
      </c>
      <c r="O90" s="936" t="str">
        <f t="shared" si="5"/>
        <v/>
      </c>
      <c r="P90" s="785" t="b">
        <v>0</v>
      </c>
      <c r="Q90" s="785">
        <f t="shared" si="6"/>
        <v>0</v>
      </c>
      <c r="R90" s="171"/>
    </row>
    <row r="91" spans="1:18" ht="15" x14ac:dyDescent="0.2">
      <c r="A91" s="325">
        <f t="shared" si="7"/>
        <v>206</v>
      </c>
      <c r="B91" s="336" t="str">
        <f>IF(C91=1,"",LOOKUP(C91,Cities!A$3:A$343,Cities!C$3:C$343))</f>
        <v/>
      </c>
      <c r="C91" s="338">
        <f t="shared" si="8"/>
        <v>1</v>
      </c>
      <c r="D91" s="337">
        <f t="shared" si="8"/>
        <v>0</v>
      </c>
      <c r="E91" s="812">
        <f>ROUND('Print Return'!$L$37*'Overflow (5)'!M37,0)</f>
        <v>0</v>
      </c>
      <c r="F91" s="955"/>
      <c r="G91" s="1524"/>
      <c r="H91" s="1524"/>
      <c r="I91" s="1525">
        <f>IF(Data!D$33=TRUE,'Overflows Worksheet'!K229,'Overflows Worksheet'!T229)</f>
        <v>0</v>
      </c>
      <c r="J91" s="1525"/>
      <c r="K91" s="853">
        <f>LOOKUP(C37,Cities!A$3:A$343,Cities!D$3:D$343)</f>
        <v>0</v>
      </c>
      <c r="L91" s="1522">
        <f t="shared" si="4"/>
        <v>0</v>
      </c>
      <c r="M91" s="1523"/>
      <c r="N91" s="339">
        <f>LOOKUP($C37,Cities!$A$3:$A$356,Cities!$V$3:$V$356)</f>
        <v>0</v>
      </c>
      <c r="O91" s="936" t="str">
        <f t="shared" si="5"/>
        <v/>
      </c>
      <c r="P91" s="785" t="b">
        <v>0</v>
      </c>
      <c r="Q91" s="785">
        <f t="shared" si="6"/>
        <v>0</v>
      </c>
      <c r="R91" s="171"/>
    </row>
    <row r="92" spans="1:18" ht="15" x14ac:dyDescent="0.2">
      <c r="A92" s="325">
        <f t="shared" si="7"/>
        <v>207</v>
      </c>
      <c r="B92" s="336" t="str">
        <f>IF(C92=1,"",LOOKUP(C92,Cities!A$3:A$343,Cities!C$3:C$343))</f>
        <v/>
      </c>
      <c r="C92" s="338">
        <f t="shared" si="8"/>
        <v>1</v>
      </c>
      <c r="D92" s="337">
        <f t="shared" si="8"/>
        <v>0</v>
      </c>
      <c r="E92" s="812">
        <f>ROUND('Print Return'!$L$37*'Overflow (5)'!M38,0)</f>
        <v>0</v>
      </c>
      <c r="F92" s="955"/>
      <c r="G92" s="1524"/>
      <c r="H92" s="1524"/>
      <c r="I92" s="1525">
        <f>IF(Data!D$33=TRUE,'Overflows Worksheet'!K230,'Overflows Worksheet'!T230)</f>
        <v>0</v>
      </c>
      <c r="J92" s="1525"/>
      <c r="K92" s="853">
        <f>LOOKUP(C38,Cities!A$3:A$343,Cities!D$3:D$343)</f>
        <v>0</v>
      </c>
      <c r="L92" s="1522">
        <f t="shared" si="4"/>
        <v>0</v>
      </c>
      <c r="M92" s="1523"/>
      <c r="N92" s="339">
        <f>LOOKUP($C38,Cities!$A$3:$A$356,Cities!$V$3:$V$356)</f>
        <v>0</v>
      </c>
      <c r="O92" s="936" t="str">
        <f t="shared" si="5"/>
        <v/>
      </c>
      <c r="P92" s="785" t="b">
        <v>0</v>
      </c>
      <c r="Q92" s="785">
        <f t="shared" si="6"/>
        <v>0</v>
      </c>
      <c r="R92" s="171"/>
    </row>
    <row r="93" spans="1:18" ht="15" x14ac:dyDescent="0.2">
      <c r="A93" s="325">
        <f t="shared" si="7"/>
        <v>208</v>
      </c>
      <c r="B93" s="336" t="str">
        <f>IF(C93=1,"",LOOKUP(C93,Cities!A$3:A$343,Cities!C$3:C$343))</f>
        <v/>
      </c>
      <c r="C93" s="338">
        <f t="shared" si="8"/>
        <v>1</v>
      </c>
      <c r="D93" s="337">
        <f t="shared" si="8"/>
        <v>0</v>
      </c>
      <c r="E93" s="812">
        <f>ROUND('Print Return'!$L$37*'Overflow (5)'!M39,0)</f>
        <v>0</v>
      </c>
      <c r="F93" s="955"/>
      <c r="G93" s="1524"/>
      <c r="H93" s="1524"/>
      <c r="I93" s="1525">
        <f>IF(Data!D$33=TRUE,'Overflows Worksheet'!K231,'Overflows Worksheet'!T231)</f>
        <v>0</v>
      </c>
      <c r="J93" s="1525"/>
      <c r="K93" s="853">
        <f>LOOKUP(C39,Cities!A$3:A$343,Cities!D$3:D$343)</f>
        <v>0</v>
      </c>
      <c r="L93" s="1522">
        <f t="shared" si="4"/>
        <v>0</v>
      </c>
      <c r="M93" s="1523"/>
      <c r="N93" s="339">
        <f>LOOKUP($C39,Cities!$A$3:$A$356,Cities!$V$3:$V$356)</f>
        <v>0</v>
      </c>
      <c r="O93" s="936" t="str">
        <f t="shared" si="5"/>
        <v/>
      </c>
      <c r="P93" s="785" t="b">
        <v>0</v>
      </c>
      <c r="Q93" s="785">
        <f t="shared" si="6"/>
        <v>0</v>
      </c>
      <c r="R93" s="171"/>
    </row>
    <row r="94" spans="1:18" ht="15" x14ac:dyDescent="0.2">
      <c r="A94" s="325">
        <f t="shared" si="7"/>
        <v>209</v>
      </c>
      <c r="B94" s="336" t="str">
        <f>IF(C94=1,"",LOOKUP(C94,Cities!A$3:A$343,Cities!C$3:C$343))</f>
        <v/>
      </c>
      <c r="C94" s="338">
        <f t="shared" si="8"/>
        <v>1</v>
      </c>
      <c r="D94" s="337">
        <f t="shared" si="8"/>
        <v>0</v>
      </c>
      <c r="E94" s="812">
        <f>ROUND('Print Return'!$L$37*'Overflow (5)'!M40,0)</f>
        <v>0</v>
      </c>
      <c r="F94" s="955"/>
      <c r="G94" s="1524"/>
      <c r="H94" s="1524"/>
      <c r="I94" s="1525">
        <f>IF(Data!D$33=TRUE,'Overflows Worksheet'!K232,'Overflows Worksheet'!T232)</f>
        <v>0</v>
      </c>
      <c r="J94" s="1525"/>
      <c r="K94" s="853">
        <f>LOOKUP(C40,Cities!A$3:A$343,Cities!D$3:D$343)</f>
        <v>0</v>
      </c>
      <c r="L94" s="1522">
        <f t="shared" si="4"/>
        <v>0</v>
      </c>
      <c r="M94" s="1523"/>
      <c r="N94" s="339">
        <f>LOOKUP($C40,Cities!$A$3:$A$356,Cities!$V$3:$V$356)</f>
        <v>0</v>
      </c>
      <c r="O94" s="936" t="str">
        <f t="shared" si="5"/>
        <v/>
      </c>
      <c r="P94" s="785" t="b">
        <v>0</v>
      </c>
      <c r="Q94" s="785">
        <f t="shared" si="6"/>
        <v>0</v>
      </c>
      <c r="R94" s="171"/>
    </row>
    <row r="95" spans="1:18" ht="15" x14ac:dyDescent="0.2">
      <c r="A95" s="325">
        <f t="shared" si="7"/>
        <v>210</v>
      </c>
      <c r="B95" s="336" t="str">
        <f>IF(C95=1,"",LOOKUP(C95,Cities!A$3:A$343,Cities!C$3:C$343))</f>
        <v/>
      </c>
      <c r="C95" s="338">
        <f t="shared" si="8"/>
        <v>1</v>
      </c>
      <c r="D95" s="337">
        <f t="shared" si="8"/>
        <v>0</v>
      </c>
      <c r="E95" s="812">
        <f>ROUND('Print Return'!$L$37*'Overflow (5)'!M41,0)</f>
        <v>0</v>
      </c>
      <c r="F95" s="955"/>
      <c r="G95" s="1524"/>
      <c r="H95" s="1524"/>
      <c r="I95" s="1525">
        <f>IF(Data!D$33=TRUE,'Overflows Worksheet'!K233,'Overflows Worksheet'!T233)</f>
        <v>0</v>
      </c>
      <c r="J95" s="1525"/>
      <c r="K95" s="853">
        <f>LOOKUP(C41,Cities!A$3:A$343,Cities!D$3:D$343)</f>
        <v>0</v>
      </c>
      <c r="L95" s="1522">
        <f t="shared" si="4"/>
        <v>0</v>
      </c>
      <c r="M95" s="1523"/>
      <c r="N95" s="339">
        <f>LOOKUP($C41,Cities!$A$3:$A$356,Cities!$V$3:$V$356)</f>
        <v>0</v>
      </c>
      <c r="O95" s="936" t="str">
        <f t="shared" si="5"/>
        <v/>
      </c>
      <c r="P95" s="785" t="b">
        <v>0</v>
      </c>
      <c r="Q95" s="785">
        <f t="shared" si="6"/>
        <v>0</v>
      </c>
      <c r="R95" s="171"/>
    </row>
    <row r="96" spans="1:18" ht="15" x14ac:dyDescent="0.2">
      <c r="A96" s="325">
        <f t="shared" si="7"/>
        <v>211</v>
      </c>
      <c r="B96" s="336" t="str">
        <f>IF(C96=1,"",LOOKUP(C96,Cities!A$3:A$343,Cities!C$3:C$343))</f>
        <v/>
      </c>
      <c r="C96" s="338">
        <f t="shared" si="8"/>
        <v>1</v>
      </c>
      <c r="D96" s="337">
        <f t="shared" si="8"/>
        <v>0</v>
      </c>
      <c r="E96" s="812">
        <f>ROUND('Print Return'!$L$37*'Overflow (5)'!M42,0)</f>
        <v>0</v>
      </c>
      <c r="F96" s="955"/>
      <c r="G96" s="1524"/>
      <c r="H96" s="1524"/>
      <c r="I96" s="1525">
        <f>IF(Data!D$33=TRUE,'Overflows Worksheet'!K234,'Overflows Worksheet'!T234)</f>
        <v>0</v>
      </c>
      <c r="J96" s="1525"/>
      <c r="K96" s="853">
        <f>LOOKUP(C42,Cities!A$3:A$343,Cities!D$3:D$343)</f>
        <v>0</v>
      </c>
      <c r="L96" s="1522">
        <f t="shared" si="4"/>
        <v>0</v>
      </c>
      <c r="M96" s="1523"/>
      <c r="N96" s="339">
        <f>LOOKUP($C42,Cities!$A$3:$A$356,Cities!$V$3:$V$356)</f>
        <v>0</v>
      </c>
      <c r="O96" s="936" t="str">
        <f t="shared" si="5"/>
        <v/>
      </c>
      <c r="P96" s="785" t="b">
        <v>0</v>
      </c>
      <c r="Q96" s="785">
        <f t="shared" si="6"/>
        <v>0</v>
      </c>
      <c r="R96" s="171"/>
    </row>
    <row r="97" spans="1:18" ht="15" x14ac:dyDescent="0.2">
      <c r="A97" s="325">
        <f t="shared" si="7"/>
        <v>212</v>
      </c>
      <c r="B97" s="336" t="str">
        <f>IF(C97=1,"",LOOKUP(C97,Cities!A$3:A$343,Cities!C$3:C$343))</f>
        <v/>
      </c>
      <c r="C97" s="338">
        <f t="shared" si="8"/>
        <v>1</v>
      </c>
      <c r="D97" s="337">
        <f t="shared" si="8"/>
        <v>0</v>
      </c>
      <c r="E97" s="812">
        <f>ROUND('Print Return'!$L$37*'Overflow (5)'!M43,0)</f>
        <v>0</v>
      </c>
      <c r="F97" s="955"/>
      <c r="G97" s="1524"/>
      <c r="H97" s="1524"/>
      <c r="I97" s="1525">
        <f>IF(Data!D$33=TRUE,'Overflows Worksheet'!K235,'Overflows Worksheet'!T235)</f>
        <v>0</v>
      </c>
      <c r="J97" s="1525"/>
      <c r="K97" s="853">
        <f>LOOKUP(C43,Cities!A$3:A$343,Cities!D$3:D$343)</f>
        <v>0</v>
      </c>
      <c r="L97" s="1522">
        <f t="shared" si="4"/>
        <v>0</v>
      </c>
      <c r="M97" s="1523"/>
      <c r="N97" s="339">
        <f>LOOKUP($C43,Cities!$A$3:$A$356,Cities!$V$3:$V$356)</f>
        <v>0</v>
      </c>
      <c r="O97" s="936" t="str">
        <f t="shared" si="5"/>
        <v/>
      </c>
      <c r="P97" s="785" t="b">
        <v>0</v>
      </c>
      <c r="Q97" s="785">
        <f t="shared" si="6"/>
        <v>0</v>
      </c>
      <c r="R97" s="171"/>
    </row>
    <row r="98" spans="1:18" ht="15" x14ac:dyDescent="0.2">
      <c r="A98" s="325">
        <f t="shared" si="7"/>
        <v>213</v>
      </c>
      <c r="B98" s="336" t="str">
        <f>IF(C98=1,"",LOOKUP(C98,Cities!A$3:A$343,Cities!C$3:C$343))</f>
        <v/>
      </c>
      <c r="C98" s="338">
        <f t="shared" ref="C98:D110" si="9">+C44</f>
        <v>1</v>
      </c>
      <c r="D98" s="337">
        <f t="shared" si="9"/>
        <v>0</v>
      </c>
      <c r="E98" s="812">
        <f>ROUND('Print Return'!$L$37*'Overflow (5)'!M44,0)</f>
        <v>0</v>
      </c>
      <c r="F98" s="955"/>
      <c r="G98" s="1524"/>
      <c r="H98" s="1524"/>
      <c r="I98" s="1525">
        <f>IF(Data!D$33=TRUE,'Overflows Worksheet'!K236,'Overflows Worksheet'!T236)</f>
        <v>0</v>
      </c>
      <c r="J98" s="1525"/>
      <c r="K98" s="853">
        <f>LOOKUP(C44,Cities!A$3:A$343,Cities!D$3:D$343)</f>
        <v>0</v>
      </c>
      <c r="L98" s="1522">
        <f t="shared" si="4"/>
        <v>0</v>
      </c>
      <c r="M98" s="1523"/>
      <c r="N98" s="339">
        <f>LOOKUP($C44,Cities!$A$3:$A$356,Cities!$V$3:$V$356)</f>
        <v>0</v>
      </c>
      <c r="O98" s="936" t="str">
        <f t="shared" si="5"/>
        <v/>
      </c>
      <c r="P98" s="785" t="b">
        <v>0</v>
      </c>
      <c r="Q98" s="785">
        <f t="shared" si="6"/>
        <v>0</v>
      </c>
      <c r="R98" s="171"/>
    </row>
    <row r="99" spans="1:18" ht="15" x14ac:dyDescent="0.2">
      <c r="A99" s="325">
        <f t="shared" si="7"/>
        <v>214</v>
      </c>
      <c r="B99" s="336" t="str">
        <f>IF(C99=1,"",LOOKUP(C99,Cities!A$3:A$343,Cities!C$3:C$343))</f>
        <v/>
      </c>
      <c r="C99" s="338">
        <f t="shared" si="9"/>
        <v>1</v>
      </c>
      <c r="D99" s="337">
        <f t="shared" si="9"/>
        <v>0</v>
      </c>
      <c r="E99" s="812">
        <f>ROUND('Print Return'!$L$37*'Overflow (5)'!M45,0)</f>
        <v>0</v>
      </c>
      <c r="F99" s="955"/>
      <c r="G99" s="1524"/>
      <c r="H99" s="1524"/>
      <c r="I99" s="1525">
        <f>IF(Data!D$33=TRUE,'Overflows Worksheet'!K237,'Overflows Worksheet'!T237)</f>
        <v>0</v>
      </c>
      <c r="J99" s="1525"/>
      <c r="K99" s="853">
        <f>LOOKUP(C45,Cities!A$3:A$343,Cities!D$3:D$343)</f>
        <v>0</v>
      </c>
      <c r="L99" s="1522">
        <f t="shared" si="4"/>
        <v>0</v>
      </c>
      <c r="M99" s="1523"/>
      <c r="N99" s="339">
        <f>LOOKUP($C45,Cities!$A$3:$A$356,Cities!$V$3:$V$356)</f>
        <v>0</v>
      </c>
      <c r="O99" s="936" t="str">
        <f t="shared" si="5"/>
        <v/>
      </c>
      <c r="P99" s="785" t="b">
        <v>0</v>
      </c>
      <c r="Q99" s="785">
        <f t="shared" si="6"/>
        <v>0</v>
      </c>
      <c r="R99" s="171"/>
    </row>
    <row r="100" spans="1:18" ht="15" x14ac:dyDescent="0.2">
      <c r="A100" s="325">
        <f t="shared" si="7"/>
        <v>215</v>
      </c>
      <c r="B100" s="336" t="str">
        <f>IF(C100=1,"",LOOKUP(C100,Cities!A$3:A$343,Cities!C$3:C$343))</f>
        <v/>
      </c>
      <c r="C100" s="338">
        <f t="shared" si="9"/>
        <v>1</v>
      </c>
      <c r="D100" s="337">
        <f t="shared" si="9"/>
        <v>0</v>
      </c>
      <c r="E100" s="812">
        <f>ROUND('Print Return'!$L$37*'Overflow (5)'!M46,0)</f>
        <v>0</v>
      </c>
      <c r="F100" s="955"/>
      <c r="G100" s="1524"/>
      <c r="H100" s="1524"/>
      <c r="I100" s="1525">
        <f>IF(Data!D$33=TRUE,'Overflows Worksheet'!K238,'Overflows Worksheet'!T238)</f>
        <v>0</v>
      </c>
      <c r="J100" s="1525"/>
      <c r="K100" s="853">
        <f>LOOKUP(C46,Cities!A$3:A$343,Cities!D$3:D$343)</f>
        <v>0</v>
      </c>
      <c r="L100" s="1522">
        <f t="shared" si="4"/>
        <v>0</v>
      </c>
      <c r="M100" s="1523"/>
      <c r="N100" s="339">
        <f>LOOKUP($C46,Cities!$A$3:$A$356,Cities!$V$3:$V$356)</f>
        <v>0</v>
      </c>
      <c r="O100" s="936" t="str">
        <f t="shared" si="5"/>
        <v/>
      </c>
      <c r="P100" s="785" t="b">
        <v>0</v>
      </c>
      <c r="Q100" s="785">
        <f t="shared" si="6"/>
        <v>0</v>
      </c>
      <c r="R100" s="171"/>
    </row>
    <row r="101" spans="1:18" ht="15" x14ac:dyDescent="0.2">
      <c r="A101" s="325">
        <f t="shared" si="7"/>
        <v>216</v>
      </c>
      <c r="B101" s="336" t="str">
        <f>IF(C101=1,"",LOOKUP(C101,Cities!A$3:A$343,Cities!C$3:C$343))</f>
        <v/>
      </c>
      <c r="C101" s="338">
        <f t="shared" si="9"/>
        <v>1</v>
      </c>
      <c r="D101" s="337">
        <f t="shared" si="9"/>
        <v>0</v>
      </c>
      <c r="E101" s="812">
        <f>ROUND('Print Return'!$L$37*'Overflow (5)'!M47,0)</f>
        <v>0</v>
      </c>
      <c r="F101" s="955"/>
      <c r="G101" s="1524"/>
      <c r="H101" s="1524"/>
      <c r="I101" s="1525">
        <f>IF(Data!D$33=TRUE,'Overflows Worksheet'!K239,'Overflows Worksheet'!T239)</f>
        <v>0</v>
      </c>
      <c r="J101" s="1525"/>
      <c r="K101" s="853">
        <f>LOOKUP(C47,Cities!A$3:A$343,Cities!D$3:D$343)</f>
        <v>0</v>
      </c>
      <c r="L101" s="1522">
        <f t="shared" si="4"/>
        <v>0</v>
      </c>
      <c r="M101" s="1523"/>
      <c r="N101" s="339">
        <f>LOOKUP($C47,Cities!$A$3:$A$356,Cities!$V$3:$V$356)</f>
        <v>0</v>
      </c>
      <c r="O101" s="936" t="str">
        <f t="shared" si="5"/>
        <v/>
      </c>
      <c r="P101" s="785" t="b">
        <v>0</v>
      </c>
      <c r="Q101" s="785">
        <f t="shared" si="6"/>
        <v>0</v>
      </c>
      <c r="R101" s="171"/>
    </row>
    <row r="102" spans="1:18" ht="15" x14ac:dyDescent="0.2">
      <c r="A102" s="325">
        <f t="shared" si="7"/>
        <v>217</v>
      </c>
      <c r="B102" s="336" t="str">
        <f>IF(C102=1,"",LOOKUP(C102,Cities!A$3:A$343,Cities!C$3:C$343))</f>
        <v/>
      </c>
      <c r="C102" s="338">
        <f t="shared" si="9"/>
        <v>1</v>
      </c>
      <c r="D102" s="337">
        <f t="shared" si="9"/>
        <v>0</v>
      </c>
      <c r="E102" s="812">
        <f>ROUND('Print Return'!$L$37*'Overflow (5)'!M48,0)</f>
        <v>0</v>
      </c>
      <c r="F102" s="955"/>
      <c r="G102" s="1524"/>
      <c r="H102" s="1524"/>
      <c r="I102" s="1525">
        <f>IF(Data!D$33=TRUE,'Overflows Worksheet'!K240,'Overflows Worksheet'!T240)</f>
        <v>0</v>
      </c>
      <c r="J102" s="1525"/>
      <c r="K102" s="853">
        <f>LOOKUP(C48,Cities!A$3:A$343,Cities!D$3:D$343)</f>
        <v>0</v>
      </c>
      <c r="L102" s="1522">
        <f t="shared" si="4"/>
        <v>0</v>
      </c>
      <c r="M102" s="1523"/>
      <c r="N102" s="339">
        <f>LOOKUP($C48,Cities!$A$3:$A$356,Cities!$V$3:$V$356)</f>
        <v>0</v>
      </c>
      <c r="O102" s="936" t="str">
        <f t="shared" si="5"/>
        <v/>
      </c>
      <c r="P102" s="785" t="b">
        <v>0</v>
      </c>
      <c r="Q102" s="785">
        <f t="shared" si="6"/>
        <v>0</v>
      </c>
      <c r="R102" s="171"/>
    </row>
    <row r="103" spans="1:18" ht="15" x14ac:dyDescent="0.2">
      <c r="A103" s="325">
        <f t="shared" si="7"/>
        <v>218</v>
      </c>
      <c r="B103" s="336" t="str">
        <f>IF(C103=1,"",LOOKUP(C103,Cities!A$3:A$343,Cities!C$3:C$343))</f>
        <v/>
      </c>
      <c r="C103" s="338">
        <f t="shared" si="9"/>
        <v>1</v>
      </c>
      <c r="D103" s="337">
        <f t="shared" si="9"/>
        <v>0</v>
      </c>
      <c r="E103" s="812">
        <f>ROUND('Print Return'!$L$37*'Overflow (5)'!M49,0)</f>
        <v>0</v>
      </c>
      <c r="F103" s="955"/>
      <c r="G103" s="1524"/>
      <c r="H103" s="1524"/>
      <c r="I103" s="1525">
        <f>IF(Data!D$33=TRUE,'Overflows Worksheet'!K241,'Overflows Worksheet'!T241)</f>
        <v>0</v>
      </c>
      <c r="J103" s="1525"/>
      <c r="K103" s="853">
        <f>LOOKUP(C49,Cities!A$3:A$343,Cities!D$3:D$343)</f>
        <v>0</v>
      </c>
      <c r="L103" s="1522">
        <f t="shared" si="4"/>
        <v>0</v>
      </c>
      <c r="M103" s="1523"/>
      <c r="N103" s="339">
        <f>LOOKUP($C49,Cities!$A$3:$A$356,Cities!$V$3:$V$356)</f>
        <v>0</v>
      </c>
      <c r="O103" s="936" t="str">
        <f t="shared" si="5"/>
        <v/>
      </c>
      <c r="P103" s="785" t="b">
        <v>0</v>
      </c>
      <c r="Q103" s="785">
        <f t="shared" si="6"/>
        <v>0</v>
      </c>
      <c r="R103" s="171"/>
    </row>
    <row r="104" spans="1:18" ht="15" x14ac:dyDescent="0.2">
      <c r="A104" s="325">
        <f t="shared" si="7"/>
        <v>219</v>
      </c>
      <c r="B104" s="336" t="str">
        <f>IF(C104=1,"",LOOKUP(C104,Cities!A$3:A$343,Cities!C$3:C$343))</f>
        <v/>
      </c>
      <c r="C104" s="338">
        <f t="shared" si="9"/>
        <v>1</v>
      </c>
      <c r="D104" s="337">
        <f t="shared" si="9"/>
        <v>0</v>
      </c>
      <c r="E104" s="812">
        <f>ROUND('Print Return'!$L$37*'Overflow (5)'!M50,0)</f>
        <v>0</v>
      </c>
      <c r="F104" s="955"/>
      <c r="G104" s="1524"/>
      <c r="H104" s="1524"/>
      <c r="I104" s="1525">
        <f>IF(Data!D$33=TRUE,'Overflows Worksheet'!K242,'Overflows Worksheet'!T242)</f>
        <v>0</v>
      </c>
      <c r="J104" s="1525"/>
      <c r="K104" s="853">
        <f>LOOKUP(C50,Cities!A$3:A$343,Cities!D$3:D$343)</f>
        <v>0</v>
      </c>
      <c r="L104" s="1522">
        <f t="shared" si="4"/>
        <v>0</v>
      </c>
      <c r="M104" s="1523"/>
      <c r="N104" s="339">
        <f>LOOKUP($C50,Cities!$A$3:$A$356,Cities!$V$3:$V$356)</f>
        <v>0</v>
      </c>
      <c r="O104" s="936" t="str">
        <f t="shared" si="5"/>
        <v/>
      </c>
      <c r="P104" s="785" t="b">
        <v>0</v>
      </c>
      <c r="Q104" s="785">
        <f t="shared" si="6"/>
        <v>0</v>
      </c>
      <c r="R104" s="171"/>
    </row>
    <row r="105" spans="1:18" ht="15" x14ac:dyDescent="0.2">
      <c r="A105" s="325">
        <f t="shared" si="7"/>
        <v>220</v>
      </c>
      <c r="B105" s="336" t="str">
        <f>IF(C105=1,"",LOOKUP(C105,Cities!A$3:A$343,Cities!C$3:C$343))</f>
        <v/>
      </c>
      <c r="C105" s="338">
        <f t="shared" si="9"/>
        <v>1</v>
      </c>
      <c r="D105" s="337">
        <f t="shared" si="9"/>
        <v>0</v>
      </c>
      <c r="E105" s="812">
        <f>ROUND('Print Return'!$L$37*'Overflow (5)'!M51,0)</f>
        <v>0</v>
      </c>
      <c r="F105" s="955"/>
      <c r="G105" s="1524"/>
      <c r="H105" s="1524"/>
      <c r="I105" s="1525">
        <f>IF(Data!D$33=TRUE,'Overflows Worksheet'!K243,'Overflows Worksheet'!T243)</f>
        <v>0</v>
      </c>
      <c r="J105" s="1525"/>
      <c r="K105" s="853">
        <f>LOOKUP(C51,Cities!A$3:A$343,Cities!D$3:D$343)</f>
        <v>0</v>
      </c>
      <c r="L105" s="1522">
        <f t="shared" si="4"/>
        <v>0</v>
      </c>
      <c r="M105" s="1523"/>
      <c r="N105" s="339">
        <f>LOOKUP($C51,Cities!$A$3:$A$356,Cities!$V$3:$V$356)</f>
        <v>0</v>
      </c>
      <c r="O105" s="936" t="str">
        <f t="shared" si="5"/>
        <v/>
      </c>
      <c r="P105" s="785" t="b">
        <v>0</v>
      </c>
      <c r="Q105" s="785">
        <f t="shared" si="6"/>
        <v>0</v>
      </c>
      <c r="R105" s="171"/>
    </row>
    <row r="106" spans="1:18" ht="15" x14ac:dyDescent="0.2">
      <c r="A106" s="325">
        <f t="shared" si="7"/>
        <v>221</v>
      </c>
      <c r="B106" s="336" t="str">
        <f>IF(C106=1,"",LOOKUP(C106,Cities!A$3:A$343,Cities!C$3:C$343))</f>
        <v/>
      </c>
      <c r="C106" s="338">
        <f t="shared" si="9"/>
        <v>1</v>
      </c>
      <c r="D106" s="337">
        <f t="shared" si="9"/>
        <v>0</v>
      </c>
      <c r="E106" s="812">
        <f>ROUND('Print Return'!$L$37*'Overflow (5)'!M52,0)</f>
        <v>0</v>
      </c>
      <c r="F106" s="955"/>
      <c r="G106" s="1524"/>
      <c r="H106" s="1524"/>
      <c r="I106" s="1525">
        <f>IF(Data!D$33=TRUE,'Overflows Worksheet'!K244,'Overflows Worksheet'!T244)</f>
        <v>0</v>
      </c>
      <c r="J106" s="1525"/>
      <c r="K106" s="853">
        <f>LOOKUP(C52,Cities!A$3:A$343,Cities!D$3:D$343)</f>
        <v>0</v>
      </c>
      <c r="L106" s="1522">
        <f t="shared" si="4"/>
        <v>0</v>
      </c>
      <c r="M106" s="1523"/>
      <c r="N106" s="339">
        <f>LOOKUP($C52,Cities!$A$3:$A$356,Cities!$V$3:$V$356)</f>
        <v>0</v>
      </c>
      <c r="O106" s="936" t="str">
        <f t="shared" si="5"/>
        <v/>
      </c>
      <c r="P106" s="785" t="b">
        <v>0</v>
      </c>
      <c r="Q106" s="785">
        <f t="shared" si="6"/>
        <v>0</v>
      </c>
      <c r="R106" s="171"/>
    </row>
    <row r="107" spans="1:18" ht="15" x14ac:dyDescent="0.2">
      <c r="A107" s="325">
        <f t="shared" si="7"/>
        <v>222</v>
      </c>
      <c r="B107" s="336" t="str">
        <f>IF(C107=1,"",LOOKUP(C107,Cities!A$3:A$343,Cities!C$3:C$343))</f>
        <v/>
      </c>
      <c r="C107" s="338">
        <f t="shared" si="9"/>
        <v>1</v>
      </c>
      <c r="D107" s="337">
        <f t="shared" si="9"/>
        <v>0</v>
      </c>
      <c r="E107" s="812">
        <f>ROUND('Print Return'!$L$37*'Overflow (5)'!M53,0)</f>
        <v>0</v>
      </c>
      <c r="F107" s="955"/>
      <c r="G107" s="1524"/>
      <c r="H107" s="1524"/>
      <c r="I107" s="1525">
        <f>IF(Data!D$33=TRUE,'Overflows Worksheet'!K245,'Overflows Worksheet'!T245)</f>
        <v>0</v>
      </c>
      <c r="J107" s="1525"/>
      <c r="K107" s="853">
        <f>LOOKUP(C53,Cities!A$3:A$343,Cities!D$3:D$343)</f>
        <v>0</v>
      </c>
      <c r="L107" s="1522">
        <f t="shared" si="4"/>
        <v>0</v>
      </c>
      <c r="M107" s="1523"/>
      <c r="N107" s="339">
        <f>LOOKUP($C53,Cities!$A$3:$A$356,Cities!$V$3:$V$356)</f>
        <v>0</v>
      </c>
      <c r="O107" s="936" t="str">
        <f t="shared" si="5"/>
        <v/>
      </c>
      <c r="P107" s="785" t="b">
        <v>0</v>
      </c>
      <c r="Q107" s="785">
        <f t="shared" si="6"/>
        <v>0</v>
      </c>
      <c r="R107" s="171"/>
    </row>
    <row r="108" spans="1:18" ht="15" x14ac:dyDescent="0.2">
      <c r="A108" s="325">
        <f t="shared" si="7"/>
        <v>223</v>
      </c>
      <c r="B108" s="336" t="str">
        <f>IF(C108=1,"",LOOKUP(C108,Cities!A$3:A$343,Cities!C$3:C$343))</f>
        <v/>
      </c>
      <c r="C108" s="338">
        <f t="shared" si="9"/>
        <v>1</v>
      </c>
      <c r="D108" s="337">
        <f t="shared" si="9"/>
        <v>0</v>
      </c>
      <c r="E108" s="812">
        <f>ROUND('Print Return'!$L$37*'Overflow (5)'!M54,0)</f>
        <v>0</v>
      </c>
      <c r="F108" s="955"/>
      <c r="G108" s="1524"/>
      <c r="H108" s="1524"/>
      <c r="I108" s="1525">
        <f>IF(Data!D$33=TRUE,'Overflows Worksheet'!K246,'Overflows Worksheet'!T246)</f>
        <v>0</v>
      </c>
      <c r="J108" s="1525"/>
      <c r="K108" s="853">
        <f>LOOKUP(C54,Cities!A$3:A$343,Cities!D$3:D$343)</f>
        <v>0</v>
      </c>
      <c r="L108" s="1522">
        <f t="shared" si="4"/>
        <v>0</v>
      </c>
      <c r="M108" s="1523"/>
      <c r="N108" s="339">
        <f>LOOKUP($C54,Cities!$A$3:$A$356,Cities!$V$3:$V$356)</f>
        <v>0</v>
      </c>
      <c r="O108" s="936" t="str">
        <f t="shared" si="5"/>
        <v/>
      </c>
      <c r="P108" s="785" t="b">
        <v>0</v>
      </c>
      <c r="Q108" s="785">
        <f t="shared" si="6"/>
        <v>0</v>
      </c>
      <c r="R108" s="171"/>
    </row>
    <row r="109" spans="1:18" ht="15" x14ac:dyDescent="0.2">
      <c r="A109" s="325">
        <f t="shared" si="7"/>
        <v>224</v>
      </c>
      <c r="B109" s="336" t="str">
        <f>IF(C109=1,"",LOOKUP(C109,Cities!A$3:A$343,Cities!C$3:C$343))</f>
        <v/>
      </c>
      <c r="C109" s="338">
        <f t="shared" si="9"/>
        <v>1</v>
      </c>
      <c r="D109" s="337">
        <f t="shared" si="9"/>
        <v>0</v>
      </c>
      <c r="E109" s="812">
        <f>ROUND('Print Return'!$L$37*'Overflow (5)'!M55,0)</f>
        <v>0</v>
      </c>
      <c r="F109" s="955"/>
      <c r="G109" s="1524"/>
      <c r="H109" s="1524"/>
      <c r="I109" s="1525">
        <f>IF(Data!D$33=TRUE,'Overflows Worksheet'!K247,'Overflows Worksheet'!T247)</f>
        <v>0</v>
      </c>
      <c r="J109" s="1525"/>
      <c r="K109" s="853">
        <f>LOOKUP(C55,Cities!A$3:A$343,Cities!D$3:D$343)</f>
        <v>0</v>
      </c>
      <c r="L109" s="1522">
        <f t="shared" si="4"/>
        <v>0</v>
      </c>
      <c r="M109" s="1523"/>
      <c r="N109" s="339">
        <f>LOOKUP($C55,Cities!$A$3:$A$356,Cities!$V$3:$V$356)</f>
        <v>0</v>
      </c>
      <c r="O109" s="936" t="str">
        <f t="shared" si="5"/>
        <v/>
      </c>
      <c r="P109" s="785" t="b">
        <v>0</v>
      </c>
      <c r="Q109" s="785">
        <f t="shared" si="6"/>
        <v>0</v>
      </c>
      <c r="R109" s="171"/>
    </row>
    <row r="110" spans="1:18" ht="15.75" thickBot="1" x14ac:dyDescent="0.25">
      <c r="A110" s="325">
        <f t="shared" si="7"/>
        <v>225</v>
      </c>
      <c r="B110" s="336" t="str">
        <f>IF(C110=1,"",LOOKUP(C110,Cities!A$3:A$343,Cities!C$3:C$343))</f>
        <v/>
      </c>
      <c r="C110" s="338">
        <f t="shared" si="9"/>
        <v>1</v>
      </c>
      <c r="D110" s="337">
        <f t="shared" si="9"/>
        <v>0</v>
      </c>
      <c r="E110" s="814">
        <f>ROUND('Print Return'!$L$37*'Overflow (5)'!M56,0)</f>
        <v>0</v>
      </c>
      <c r="F110" s="956"/>
      <c r="G110" s="1564"/>
      <c r="H110" s="1564"/>
      <c r="I110" s="1525">
        <f>IF(Data!D$33=TRUE,'Overflows Worksheet'!K248,'Overflows Worksheet'!T248)</f>
        <v>0</v>
      </c>
      <c r="J110" s="1525"/>
      <c r="K110" s="854">
        <f>LOOKUP(C56,Cities!A$3:A$343,Cities!D$3:D$343)</f>
        <v>0</v>
      </c>
      <c r="L110" s="1562">
        <f t="shared" si="4"/>
        <v>0</v>
      </c>
      <c r="M110" s="1563"/>
      <c r="N110" s="339">
        <f>LOOKUP($C56,Cities!$A$3:$A$356,Cities!$V$3:$V$356)</f>
        <v>0</v>
      </c>
      <c r="O110" s="936" t="str">
        <f t="shared" si="5"/>
        <v/>
      </c>
      <c r="P110" s="785" t="b">
        <v>0</v>
      </c>
      <c r="Q110" s="785">
        <f t="shared" si="6"/>
        <v>0</v>
      </c>
      <c r="R110" s="171"/>
    </row>
    <row r="111" spans="1:18" ht="15" x14ac:dyDescent="0.2">
      <c r="B111" s="6" t="s">
        <v>1791</v>
      </c>
      <c r="C111" s="6"/>
      <c r="D111" s="6"/>
      <c r="E111" s="813">
        <f>SUM(E66:E110)</f>
        <v>0</v>
      </c>
      <c r="F111" s="958">
        <f>SUM(F66:F110)</f>
        <v>0</v>
      </c>
      <c r="G111" s="1561">
        <f>SUM(G66:G110)</f>
        <v>0</v>
      </c>
      <c r="H111" s="1561"/>
      <c r="I111" s="1566">
        <f>SUM(I66:I110)</f>
        <v>0</v>
      </c>
      <c r="J111" s="1566"/>
      <c r="K111" s="855"/>
      <c r="L111" s="1561">
        <f>SUM(L66:L110)</f>
        <v>0</v>
      </c>
      <c r="M111" s="1561"/>
      <c r="O111" s="786"/>
      <c r="P111" s="171"/>
      <c r="Q111" s="785">
        <f>SUM(Q66:Q110)</f>
        <v>0</v>
      </c>
      <c r="R111" s="171"/>
    </row>
    <row r="112" spans="1:18" s="6" customFormat="1" ht="15" x14ac:dyDescent="0.2">
      <c r="O112" s="850"/>
      <c r="P112" s="602"/>
      <c r="Q112" s="602"/>
      <c r="R112" s="602"/>
    </row>
  </sheetData>
  <sheetProtection algorithmName="SHA-512" hashValue="NqESXDKh+5tVXv++NaMTshsVY5IEUEkh7K6AzyoCJ6Cii/2RsYngtmCT9MQAWxWPrxtVmcdMTMH7D4c3ozbomQ==" saltValue="JxMkzHJpSd/im1RfZCq2Rw==" spinCount="100000" sheet="1" objects="1" scenarios="1"/>
  <mergeCells count="171">
    <mergeCell ref="G110:H110"/>
    <mergeCell ref="I110:J110"/>
    <mergeCell ref="L110:M110"/>
    <mergeCell ref="G111:H111"/>
    <mergeCell ref="I111:J111"/>
    <mergeCell ref="L111:M111"/>
    <mergeCell ref="G108:H108"/>
    <mergeCell ref="I108:J108"/>
    <mergeCell ref="L108:M108"/>
    <mergeCell ref="G109:H109"/>
    <mergeCell ref="I109:J109"/>
    <mergeCell ref="L109:M109"/>
    <mergeCell ref="G106:H106"/>
    <mergeCell ref="I106:J106"/>
    <mergeCell ref="L106:M106"/>
    <mergeCell ref="G107:H107"/>
    <mergeCell ref="I107:J107"/>
    <mergeCell ref="L107:M107"/>
    <mergeCell ref="G104:H104"/>
    <mergeCell ref="I104:J104"/>
    <mergeCell ref="L104:M104"/>
    <mergeCell ref="G105:H105"/>
    <mergeCell ref="I105:J105"/>
    <mergeCell ref="L105:M105"/>
    <mergeCell ref="G102:H102"/>
    <mergeCell ref="I102:J102"/>
    <mergeCell ref="L102:M102"/>
    <mergeCell ref="G103:H103"/>
    <mergeCell ref="I103:J103"/>
    <mergeCell ref="L103:M103"/>
    <mergeCell ref="G100:H100"/>
    <mergeCell ref="I100:J100"/>
    <mergeCell ref="L100:M100"/>
    <mergeCell ref="G101:H101"/>
    <mergeCell ref="I101:J101"/>
    <mergeCell ref="L101:M101"/>
    <mergeCell ref="G98:H98"/>
    <mergeCell ref="I98:J98"/>
    <mergeCell ref="L98:M98"/>
    <mergeCell ref="G99:H99"/>
    <mergeCell ref="I99:J99"/>
    <mergeCell ref="L99:M99"/>
    <mergeCell ref="G96:H96"/>
    <mergeCell ref="I96:J96"/>
    <mergeCell ref="L96:M96"/>
    <mergeCell ref="G97:H97"/>
    <mergeCell ref="I97:J97"/>
    <mergeCell ref="L97:M97"/>
    <mergeCell ref="G94:H94"/>
    <mergeCell ref="I94:J94"/>
    <mergeCell ref="L94:M94"/>
    <mergeCell ref="G95:H95"/>
    <mergeCell ref="I95:J95"/>
    <mergeCell ref="L95:M95"/>
    <mergeCell ref="G92:H92"/>
    <mergeCell ref="I92:J92"/>
    <mergeCell ref="L92:M92"/>
    <mergeCell ref="G93:H93"/>
    <mergeCell ref="I93:J93"/>
    <mergeCell ref="L93:M93"/>
    <mergeCell ref="G90:H90"/>
    <mergeCell ref="I90:J90"/>
    <mergeCell ref="L90:M90"/>
    <mergeCell ref="G91:H91"/>
    <mergeCell ref="I91:J91"/>
    <mergeCell ref="L91:M91"/>
    <mergeCell ref="G88:H88"/>
    <mergeCell ref="I88:J88"/>
    <mergeCell ref="L88:M88"/>
    <mergeCell ref="G89:H89"/>
    <mergeCell ref="I89:J89"/>
    <mergeCell ref="L89:M89"/>
    <mergeCell ref="G86:H86"/>
    <mergeCell ref="I86:J86"/>
    <mergeCell ref="L86:M86"/>
    <mergeCell ref="G87:H87"/>
    <mergeCell ref="I87:J87"/>
    <mergeCell ref="L87:M87"/>
    <mergeCell ref="G84:H84"/>
    <mergeCell ref="I84:J84"/>
    <mergeCell ref="L84:M84"/>
    <mergeCell ref="G85:H85"/>
    <mergeCell ref="I85:J85"/>
    <mergeCell ref="L85:M85"/>
    <mergeCell ref="G82:H82"/>
    <mergeCell ref="I82:J82"/>
    <mergeCell ref="L82:M82"/>
    <mergeCell ref="G83:H83"/>
    <mergeCell ref="I83:J83"/>
    <mergeCell ref="L83:M83"/>
    <mergeCell ref="G80:H80"/>
    <mergeCell ref="I80:J80"/>
    <mergeCell ref="L80:M80"/>
    <mergeCell ref="G81:H81"/>
    <mergeCell ref="I81:J81"/>
    <mergeCell ref="L81:M81"/>
    <mergeCell ref="G78:H78"/>
    <mergeCell ref="I78:J78"/>
    <mergeCell ref="L78:M78"/>
    <mergeCell ref="G79:H79"/>
    <mergeCell ref="I79:J79"/>
    <mergeCell ref="L79:M79"/>
    <mergeCell ref="G76:H76"/>
    <mergeCell ref="I76:J76"/>
    <mergeCell ref="L76:M76"/>
    <mergeCell ref="G77:H77"/>
    <mergeCell ref="I77:J77"/>
    <mergeCell ref="L77:M77"/>
    <mergeCell ref="G74:H74"/>
    <mergeCell ref="I74:J74"/>
    <mergeCell ref="L74:M74"/>
    <mergeCell ref="G75:H75"/>
    <mergeCell ref="I75:J75"/>
    <mergeCell ref="L75:M75"/>
    <mergeCell ref="G72:H72"/>
    <mergeCell ref="I72:J72"/>
    <mergeCell ref="L72:M72"/>
    <mergeCell ref="G73:H73"/>
    <mergeCell ref="I73:J73"/>
    <mergeCell ref="L73:M73"/>
    <mergeCell ref="G70:H70"/>
    <mergeCell ref="I70:J70"/>
    <mergeCell ref="L70:M70"/>
    <mergeCell ref="G71:H71"/>
    <mergeCell ref="I71:J71"/>
    <mergeCell ref="L71:M71"/>
    <mergeCell ref="G68:H68"/>
    <mergeCell ref="I68:J68"/>
    <mergeCell ref="L68:M68"/>
    <mergeCell ref="G69:H69"/>
    <mergeCell ref="I69:J69"/>
    <mergeCell ref="L69:M69"/>
    <mergeCell ref="O64:O65"/>
    <mergeCell ref="L65:M65"/>
    <mergeCell ref="G66:H66"/>
    <mergeCell ref="I66:J66"/>
    <mergeCell ref="L66:M66"/>
    <mergeCell ref="G67:H67"/>
    <mergeCell ref="I67:J67"/>
    <mergeCell ref="L67:M67"/>
    <mergeCell ref="B62:J62"/>
    <mergeCell ref="K62:M62"/>
    <mergeCell ref="D64:D65"/>
    <mergeCell ref="E64:E65"/>
    <mergeCell ref="F64:F65"/>
    <mergeCell ref="G64:H65"/>
    <mergeCell ref="I64:J65"/>
    <mergeCell ref="L64:M64"/>
    <mergeCell ref="D10:D11"/>
    <mergeCell ref="E10:H10"/>
    <mergeCell ref="I10:J10"/>
    <mergeCell ref="K10:L10"/>
    <mergeCell ref="K58:K59"/>
    <mergeCell ref="A59:B59"/>
    <mergeCell ref="D59:J60"/>
    <mergeCell ref="L59:M59"/>
    <mergeCell ref="A60:B60"/>
    <mergeCell ref="L60:M60"/>
    <mergeCell ref="B6:B8"/>
    <mergeCell ref="E6:F6"/>
    <mergeCell ref="I6:J6"/>
    <mergeCell ref="E7:F7"/>
    <mergeCell ref="E8:F8"/>
    <mergeCell ref="I8:J8"/>
    <mergeCell ref="A1:B1"/>
    <mergeCell ref="D1:K2"/>
    <mergeCell ref="L1:M1"/>
    <mergeCell ref="A2:B2"/>
    <mergeCell ref="L2:M2"/>
    <mergeCell ref="B4:J4"/>
    <mergeCell ref="K4:M4"/>
  </mergeCells>
  <conditionalFormatting sqref="G66:H110">
    <cfRule type="expression" dxfId="19" priority="3" stopIfTrue="1">
      <formula>$N66=0</formula>
    </cfRule>
  </conditionalFormatting>
  <conditionalFormatting sqref="E66:E110 I66:L110">
    <cfRule type="expression" dxfId="18" priority="4" stopIfTrue="1">
      <formula>$D66=0</formula>
    </cfRule>
  </conditionalFormatting>
  <conditionalFormatting sqref="N66:N110">
    <cfRule type="expression" dxfId="17" priority="5" stopIfTrue="1">
      <formula>"LOOKUP(C12,Cities!$A$3:$A$169,Cities!$L$3:$L$169)=0"</formula>
    </cfRule>
  </conditionalFormatting>
  <pageMargins left="0.5" right="0.5" top="0.5" bottom="0.5" header="0.5" footer="0.5"/>
  <pageSetup scale="75" orientation="portrait" r:id="rId1"/>
  <headerFooter alignWithMargins="0"/>
  <rowBreaks count="1" manualBreakCount="1">
    <brk id="5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2289" r:id="rId4" name="Drop Down 1">
              <controlPr defaultSize="0" autoLine="0" autoPict="0">
                <anchor moveWithCells="1">
                  <from>
                    <xdr:col>1</xdr:col>
                    <xdr:colOff>9525</xdr:colOff>
                    <xdr:row>11</xdr:row>
                    <xdr:rowOff>9525</xdr:rowOff>
                  </from>
                  <to>
                    <xdr:col>1</xdr:col>
                    <xdr:colOff>1924050</xdr:colOff>
                    <xdr:row>11</xdr:row>
                    <xdr:rowOff>209550</xdr:rowOff>
                  </to>
                </anchor>
              </controlPr>
            </control>
          </mc:Choice>
        </mc:AlternateContent>
        <mc:AlternateContent xmlns:mc="http://schemas.openxmlformats.org/markup-compatibility/2006">
          <mc:Choice Requires="x14">
            <control shapeId="12290" r:id="rId5" name="Drop Down 2">
              <controlPr defaultSize="0" autoLine="0" autoPict="0">
                <anchor moveWithCells="1">
                  <from>
                    <xdr:col>1</xdr:col>
                    <xdr:colOff>9525</xdr:colOff>
                    <xdr:row>12</xdr:row>
                    <xdr:rowOff>9525</xdr:rowOff>
                  </from>
                  <to>
                    <xdr:col>1</xdr:col>
                    <xdr:colOff>1924050</xdr:colOff>
                    <xdr:row>12</xdr:row>
                    <xdr:rowOff>209550</xdr:rowOff>
                  </to>
                </anchor>
              </controlPr>
            </control>
          </mc:Choice>
        </mc:AlternateContent>
        <mc:AlternateContent xmlns:mc="http://schemas.openxmlformats.org/markup-compatibility/2006">
          <mc:Choice Requires="x14">
            <control shapeId="12291" r:id="rId6" name="Drop Down 3">
              <controlPr defaultSize="0" autoLine="0" autoPict="0">
                <anchor moveWithCells="1">
                  <from>
                    <xdr:col>1</xdr:col>
                    <xdr:colOff>9525</xdr:colOff>
                    <xdr:row>13</xdr:row>
                    <xdr:rowOff>19050</xdr:rowOff>
                  </from>
                  <to>
                    <xdr:col>1</xdr:col>
                    <xdr:colOff>1924050</xdr:colOff>
                    <xdr:row>13</xdr:row>
                    <xdr:rowOff>219075</xdr:rowOff>
                  </to>
                </anchor>
              </controlPr>
            </control>
          </mc:Choice>
        </mc:AlternateContent>
        <mc:AlternateContent xmlns:mc="http://schemas.openxmlformats.org/markup-compatibility/2006">
          <mc:Choice Requires="x14">
            <control shapeId="12292" r:id="rId7" name="Drop Down 4">
              <controlPr defaultSize="0" autoLine="0" autoPict="0">
                <anchor moveWithCells="1">
                  <from>
                    <xdr:col>1</xdr:col>
                    <xdr:colOff>9525</xdr:colOff>
                    <xdr:row>14</xdr:row>
                    <xdr:rowOff>19050</xdr:rowOff>
                  </from>
                  <to>
                    <xdr:col>1</xdr:col>
                    <xdr:colOff>1924050</xdr:colOff>
                    <xdr:row>14</xdr:row>
                    <xdr:rowOff>219075</xdr:rowOff>
                  </to>
                </anchor>
              </controlPr>
            </control>
          </mc:Choice>
        </mc:AlternateContent>
        <mc:AlternateContent xmlns:mc="http://schemas.openxmlformats.org/markup-compatibility/2006">
          <mc:Choice Requires="x14">
            <control shapeId="12293" r:id="rId8" name="Drop Down 5">
              <controlPr defaultSize="0" autoLine="0" autoPict="0">
                <anchor moveWithCells="1">
                  <from>
                    <xdr:col>1</xdr:col>
                    <xdr:colOff>9525</xdr:colOff>
                    <xdr:row>15</xdr:row>
                    <xdr:rowOff>19050</xdr:rowOff>
                  </from>
                  <to>
                    <xdr:col>1</xdr:col>
                    <xdr:colOff>1924050</xdr:colOff>
                    <xdr:row>15</xdr:row>
                    <xdr:rowOff>219075</xdr:rowOff>
                  </to>
                </anchor>
              </controlPr>
            </control>
          </mc:Choice>
        </mc:AlternateContent>
        <mc:AlternateContent xmlns:mc="http://schemas.openxmlformats.org/markup-compatibility/2006">
          <mc:Choice Requires="x14">
            <control shapeId="12294" r:id="rId9" name="Drop Down 6">
              <controlPr defaultSize="0" autoLine="0" autoPict="0">
                <anchor moveWithCells="1">
                  <from>
                    <xdr:col>1</xdr:col>
                    <xdr:colOff>9525</xdr:colOff>
                    <xdr:row>16</xdr:row>
                    <xdr:rowOff>19050</xdr:rowOff>
                  </from>
                  <to>
                    <xdr:col>1</xdr:col>
                    <xdr:colOff>1924050</xdr:colOff>
                    <xdr:row>16</xdr:row>
                    <xdr:rowOff>219075</xdr:rowOff>
                  </to>
                </anchor>
              </controlPr>
            </control>
          </mc:Choice>
        </mc:AlternateContent>
        <mc:AlternateContent xmlns:mc="http://schemas.openxmlformats.org/markup-compatibility/2006">
          <mc:Choice Requires="x14">
            <control shapeId="12295" r:id="rId10" name="Drop Down 7">
              <controlPr defaultSize="0" autoLine="0" autoPict="0">
                <anchor moveWithCells="1">
                  <from>
                    <xdr:col>1</xdr:col>
                    <xdr:colOff>9525</xdr:colOff>
                    <xdr:row>17</xdr:row>
                    <xdr:rowOff>19050</xdr:rowOff>
                  </from>
                  <to>
                    <xdr:col>1</xdr:col>
                    <xdr:colOff>1924050</xdr:colOff>
                    <xdr:row>17</xdr:row>
                    <xdr:rowOff>219075</xdr:rowOff>
                  </to>
                </anchor>
              </controlPr>
            </control>
          </mc:Choice>
        </mc:AlternateContent>
        <mc:AlternateContent xmlns:mc="http://schemas.openxmlformats.org/markup-compatibility/2006">
          <mc:Choice Requires="x14">
            <control shapeId="12296" r:id="rId11" name="Drop Down 8">
              <controlPr defaultSize="0" autoLine="0" autoPict="0">
                <anchor moveWithCells="1">
                  <from>
                    <xdr:col>1</xdr:col>
                    <xdr:colOff>9525</xdr:colOff>
                    <xdr:row>18</xdr:row>
                    <xdr:rowOff>19050</xdr:rowOff>
                  </from>
                  <to>
                    <xdr:col>1</xdr:col>
                    <xdr:colOff>1924050</xdr:colOff>
                    <xdr:row>18</xdr:row>
                    <xdr:rowOff>219075</xdr:rowOff>
                  </to>
                </anchor>
              </controlPr>
            </control>
          </mc:Choice>
        </mc:AlternateContent>
        <mc:AlternateContent xmlns:mc="http://schemas.openxmlformats.org/markup-compatibility/2006">
          <mc:Choice Requires="x14">
            <control shapeId="12297" r:id="rId12" name="Drop Down 9">
              <controlPr defaultSize="0" autoLine="0" autoPict="0">
                <anchor moveWithCells="1">
                  <from>
                    <xdr:col>1</xdr:col>
                    <xdr:colOff>9525</xdr:colOff>
                    <xdr:row>19</xdr:row>
                    <xdr:rowOff>28575</xdr:rowOff>
                  </from>
                  <to>
                    <xdr:col>1</xdr:col>
                    <xdr:colOff>1924050</xdr:colOff>
                    <xdr:row>20</xdr:row>
                    <xdr:rowOff>0</xdr:rowOff>
                  </to>
                </anchor>
              </controlPr>
            </control>
          </mc:Choice>
        </mc:AlternateContent>
        <mc:AlternateContent xmlns:mc="http://schemas.openxmlformats.org/markup-compatibility/2006">
          <mc:Choice Requires="x14">
            <control shapeId="12298" r:id="rId13" name="Drop Down 10">
              <controlPr defaultSize="0" autoLine="0" autoPict="0">
                <anchor moveWithCells="1">
                  <from>
                    <xdr:col>1</xdr:col>
                    <xdr:colOff>9525</xdr:colOff>
                    <xdr:row>20</xdr:row>
                    <xdr:rowOff>19050</xdr:rowOff>
                  </from>
                  <to>
                    <xdr:col>1</xdr:col>
                    <xdr:colOff>1924050</xdr:colOff>
                    <xdr:row>20</xdr:row>
                    <xdr:rowOff>219075</xdr:rowOff>
                  </to>
                </anchor>
              </controlPr>
            </control>
          </mc:Choice>
        </mc:AlternateContent>
        <mc:AlternateContent xmlns:mc="http://schemas.openxmlformats.org/markup-compatibility/2006">
          <mc:Choice Requires="x14">
            <control shapeId="12299" r:id="rId14" name="Drop Down 11">
              <controlPr defaultSize="0" autoLine="0" autoPict="0">
                <anchor moveWithCells="1">
                  <from>
                    <xdr:col>1</xdr:col>
                    <xdr:colOff>9525</xdr:colOff>
                    <xdr:row>21</xdr:row>
                    <xdr:rowOff>28575</xdr:rowOff>
                  </from>
                  <to>
                    <xdr:col>1</xdr:col>
                    <xdr:colOff>1924050</xdr:colOff>
                    <xdr:row>22</xdr:row>
                    <xdr:rowOff>0</xdr:rowOff>
                  </to>
                </anchor>
              </controlPr>
            </control>
          </mc:Choice>
        </mc:AlternateContent>
        <mc:AlternateContent xmlns:mc="http://schemas.openxmlformats.org/markup-compatibility/2006">
          <mc:Choice Requires="x14">
            <control shapeId="12300" r:id="rId15" name="Drop Down 12">
              <controlPr defaultSize="0" autoLine="0" autoPict="0">
                <anchor moveWithCells="1">
                  <from>
                    <xdr:col>1</xdr:col>
                    <xdr:colOff>9525</xdr:colOff>
                    <xdr:row>22</xdr:row>
                    <xdr:rowOff>28575</xdr:rowOff>
                  </from>
                  <to>
                    <xdr:col>1</xdr:col>
                    <xdr:colOff>1924050</xdr:colOff>
                    <xdr:row>23</xdr:row>
                    <xdr:rowOff>0</xdr:rowOff>
                  </to>
                </anchor>
              </controlPr>
            </control>
          </mc:Choice>
        </mc:AlternateContent>
        <mc:AlternateContent xmlns:mc="http://schemas.openxmlformats.org/markup-compatibility/2006">
          <mc:Choice Requires="x14">
            <control shapeId="12301" r:id="rId16" name="Drop Down 13">
              <controlPr defaultSize="0" autoLine="0" autoPict="0">
                <anchor moveWithCells="1">
                  <from>
                    <xdr:col>1</xdr:col>
                    <xdr:colOff>9525</xdr:colOff>
                    <xdr:row>23</xdr:row>
                    <xdr:rowOff>19050</xdr:rowOff>
                  </from>
                  <to>
                    <xdr:col>1</xdr:col>
                    <xdr:colOff>1924050</xdr:colOff>
                    <xdr:row>23</xdr:row>
                    <xdr:rowOff>219075</xdr:rowOff>
                  </to>
                </anchor>
              </controlPr>
            </control>
          </mc:Choice>
        </mc:AlternateContent>
        <mc:AlternateContent xmlns:mc="http://schemas.openxmlformats.org/markup-compatibility/2006">
          <mc:Choice Requires="x14">
            <control shapeId="12302" r:id="rId17" name="Drop Down 14">
              <controlPr defaultSize="0" autoLine="0" autoPict="0">
                <anchor moveWithCells="1">
                  <from>
                    <xdr:col>1</xdr:col>
                    <xdr:colOff>9525</xdr:colOff>
                    <xdr:row>24</xdr:row>
                    <xdr:rowOff>28575</xdr:rowOff>
                  </from>
                  <to>
                    <xdr:col>1</xdr:col>
                    <xdr:colOff>1924050</xdr:colOff>
                    <xdr:row>25</xdr:row>
                    <xdr:rowOff>0</xdr:rowOff>
                  </to>
                </anchor>
              </controlPr>
            </control>
          </mc:Choice>
        </mc:AlternateContent>
        <mc:AlternateContent xmlns:mc="http://schemas.openxmlformats.org/markup-compatibility/2006">
          <mc:Choice Requires="x14">
            <control shapeId="12303" r:id="rId18" name="Drop Down 15">
              <controlPr defaultSize="0" autoLine="0" autoPict="0">
                <anchor moveWithCells="1">
                  <from>
                    <xdr:col>1</xdr:col>
                    <xdr:colOff>9525</xdr:colOff>
                    <xdr:row>25</xdr:row>
                    <xdr:rowOff>19050</xdr:rowOff>
                  </from>
                  <to>
                    <xdr:col>1</xdr:col>
                    <xdr:colOff>1924050</xdr:colOff>
                    <xdr:row>25</xdr:row>
                    <xdr:rowOff>219075</xdr:rowOff>
                  </to>
                </anchor>
              </controlPr>
            </control>
          </mc:Choice>
        </mc:AlternateContent>
        <mc:AlternateContent xmlns:mc="http://schemas.openxmlformats.org/markup-compatibility/2006">
          <mc:Choice Requires="x14">
            <control shapeId="12304" r:id="rId19" name="Drop Down 16">
              <controlPr defaultSize="0" autoLine="0" autoPict="0">
                <anchor moveWithCells="1">
                  <from>
                    <xdr:col>1</xdr:col>
                    <xdr:colOff>9525</xdr:colOff>
                    <xdr:row>26</xdr:row>
                    <xdr:rowOff>19050</xdr:rowOff>
                  </from>
                  <to>
                    <xdr:col>1</xdr:col>
                    <xdr:colOff>1924050</xdr:colOff>
                    <xdr:row>26</xdr:row>
                    <xdr:rowOff>219075</xdr:rowOff>
                  </to>
                </anchor>
              </controlPr>
            </control>
          </mc:Choice>
        </mc:AlternateContent>
        <mc:AlternateContent xmlns:mc="http://schemas.openxmlformats.org/markup-compatibility/2006">
          <mc:Choice Requires="x14">
            <control shapeId="12305" r:id="rId20" name="Drop Down 17">
              <controlPr defaultSize="0" autoLine="0" autoPict="0">
                <anchor moveWithCells="1">
                  <from>
                    <xdr:col>1</xdr:col>
                    <xdr:colOff>9525</xdr:colOff>
                    <xdr:row>27</xdr:row>
                    <xdr:rowOff>19050</xdr:rowOff>
                  </from>
                  <to>
                    <xdr:col>1</xdr:col>
                    <xdr:colOff>1924050</xdr:colOff>
                    <xdr:row>27</xdr:row>
                    <xdr:rowOff>219075</xdr:rowOff>
                  </to>
                </anchor>
              </controlPr>
            </control>
          </mc:Choice>
        </mc:AlternateContent>
        <mc:AlternateContent xmlns:mc="http://schemas.openxmlformats.org/markup-compatibility/2006">
          <mc:Choice Requires="x14">
            <control shapeId="12306" r:id="rId21" name="Drop Down 18">
              <controlPr defaultSize="0" autoLine="0" autoPict="0">
                <anchor moveWithCells="1">
                  <from>
                    <xdr:col>1</xdr:col>
                    <xdr:colOff>9525</xdr:colOff>
                    <xdr:row>28</xdr:row>
                    <xdr:rowOff>19050</xdr:rowOff>
                  </from>
                  <to>
                    <xdr:col>1</xdr:col>
                    <xdr:colOff>1924050</xdr:colOff>
                    <xdr:row>28</xdr:row>
                    <xdr:rowOff>219075</xdr:rowOff>
                  </to>
                </anchor>
              </controlPr>
            </control>
          </mc:Choice>
        </mc:AlternateContent>
        <mc:AlternateContent xmlns:mc="http://schemas.openxmlformats.org/markup-compatibility/2006">
          <mc:Choice Requires="x14">
            <control shapeId="12307" r:id="rId22" name="Drop Down 19">
              <controlPr defaultSize="0" autoLine="0" autoPict="0">
                <anchor moveWithCells="1">
                  <from>
                    <xdr:col>1</xdr:col>
                    <xdr:colOff>9525</xdr:colOff>
                    <xdr:row>29</xdr:row>
                    <xdr:rowOff>19050</xdr:rowOff>
                  </from>
                  <to>
                    <xdr:col>1</xdr:col>
                    <xdr:colOff>1924050</xdr:colOff>
                    <xdr:row>29</xdr:row>
                    <xdr:rowOff>219075</xdr:rowOff>
                  </to>
                </anchor>
              </controlPr>
            </control>
          </mc:Choice>
        </mc:AlternateContent>
        <mc:AlternateContent xmlns:mc="http://schemas.openxmlformats.org/markup-compatibility/2006">
          <mc:Choice Requires="x14">
            <control shapeId="12308" r:id="rId23" name="Drop Down 20">
              <controlPr defaultSize="0" autoLine="0" autoPict="0">
                <anchor moveWithCells="1">
                  <from>
                    <xdr:col>1</xdr:col>
                    <xdr:colOff>9525</xdr:colOff>
                    <xdr:row>30</xdr:row>
                    <xdr:rowOff>19050</xdr:rowOff>
                  </from>
                  <to>
                    <xdr:col>1</xdr:col>
                    <xdr:colOff>1924050</xdr:colOff>
                    <xdr:row>30</xdr:row>
                    <xdr:rowOff>219075</xdr:rowOff>
                  </to>
                </anchor>
              </controlPr>
            </control>
          </mc:Choice>
        </mc:AlternateContent>
        <mc:AlternateContent xmlns:mc="http://schemas.openxmlformats.org/markup-compatibility/2006">
          <mc:Choice Requires="x14">
            <control shapeId="12309" r:id="rId24" name="Drop Down 21">
              <controlPr defaultSize="0" autoLine="0" autoPict="0">
                <anchor moveWithCells="1">
                  <from>
                    <xdr:col>1</xdr:col>
                    <xdr:colOff>9525</xdr:colOff>
                    <xdr:row>31</xdr:row>
                    <xdr:rowOff>19050</xdr:rowOff>
                  </from>
                  <to>
                    <xdr:col>1</xdr:col>
                    <xdr:colOff>1924050</xdr:colOff>
                    <xdr:row>31</xdr:row>
                    <xdr:rowOff>219075</xdr:rowOff>
                  </to>
                </anchor>
              </controlPr>
            </control>
          </mc:Choice>
        </mc:AlternateContent>
        <mc:AlternateContent xmlns:mc="http://schemas.openxmlformats.org/markup-compatibility/2006">
          <mc:Choice Requires="x14">
            <control shapeId="12310" r:id="rId25" name="Drop Down 22">
              <controlPr defaultSize="0" autoLine="0" autoPict="0">
                <anchor moveWithCells="1">
                  <from>
                    <xdr:col>1</xdr:col>
                    <xdr:colOff>9525</xdr:colOff>
                    <xdr:row>32</xdr:row>
                    <xdr:rowOff>19050</xdr:rowOff>
                  </from>
                  <to>
                    <xdr:col>1</xdr:col>
                    <xdr:colOff>1924050</xdr:colOff>
                    <xdr:row>32</xdr:row>
                    <xdr:rowOff>219075</xdr:rowOff>
                  </to>
                </anchor>
              </controlPr>
            </control>
          </mc:Choice>
        </mc:AlternateContent>
        <mc:AlternateContent xmlns:mc="http://schemas.openxmlformats.org/markup-compatibility/2006">
          <mc:Choice Requires="x14">
            <control shapeId="12311" r:id="rId26" name="Drop Down 23">
              <controlPr defaultSize="0" autoLine="0" autoPict="0">
                <anchor moveWithCells="1">
                  <from>
                    <xdr:col>1</xdr:col>
                    <xdr:colOff>9525</xdr:colOff>
                    <xdr:row>33</xdr:row>
                    <xdr:rowOff>19050</xdr:rowOff>
                  </from>
                  <to>
                    <xdr:col>1</xdr:col>
                    <xdr:colOff>1924050</xdr:colOff>
                    <xdr:row>33</xdr:row>
                    <xdr:rowOff>219075</xdr:rowOff>
                  </to>
                </anchor>
              </controlPr>
            </control>
          </mc:Choice>
        </mc:AlternateContent>
        <mc:AlternateContent xmlns:mc="http://schemas.openxmlformats.org/markup-compatibility/2006">
          <mc:Choice Requires="x14">
            <control shapeId="12312" r:id="rId27" name="Drop Down 24">
              <controlPr defaultSize="0" autoLine="0" autoPict="0">
                <anchor moveWithCells="1">
                  <from>
                    <xdr:col>1</xdr:col>
                    <xdr:colOff>9525</xdr:colOff>
                    <xdr:row>34</xdr:row>
                    <xdr:rowOff>19050</xdr:rowOff>
                  </from>
                  <to>
                    <xdr:col>1</xdr:col>
                    <xdr:colOff>1924050</xdr:colOff>
                    <xdr:row>34</xdr:row>
                    <xdr:rowOff>219075</xdr:rowOff>
                  </to>
                </anchor>
              </controlPr>
            </control>
          </mc:Choice>
        </mc:AlternateContent>
        <mc:AlternateContent xmlns:mc="http://schemas.openxmlformats.org/markup-compatibility/2006">
          <mc:Choice Requires="x14">
            <control shapeId="12313" r:id="rId28" name="Drop Down 25">
              <controlPr defaultSize="0" autoLine="0" autoPict="0">
                <anchor moveWithCells="1">
                  <from>
                    <xdr:col>1</xdr:col>
                    <xdr:colOff>9525</xdr:colOff>
                    <xdr:row>35</xdr:row>
                    <xdr:rowOff>19050</xdr:rowOff>
                  </from>
                  <to>
                    <xdr:col>1</xdr:col>
                    <xdr:colOff>1924050</xdr:colOff>
                    <xdr:row>35</xdr:row>
                    <xdr:rowOff>219075</xdr:rowOff>
                  </to>
                </anchor>
              </controlPr>
            </control>
          </mc:Choice>
        </mc:AlternateContent>
        <mc:AlternateContent xmlns:mc="http://schemas.openxmlformats.org/markup-compatibility/2006">
          <mc:Choice Requires="x14">
            <control shapeId="12314" r:id="rId29" name="Drop Down 26">
              <controlPr defaultSize="0" autoLine="0" autoPict="0">
                <anchor moveWithCells="1">
                  <from>
                    <xdr:col>1</xdr:col>
                    <xdr:colOff>9525</xdr:colOff>
                    <xdr:row>36</xdr:row>
                    <xdr:rowOff>19050</xdr:rowOff>
                  </from>
                  <to>
                    <xdr:col>1</xdr:col>
                    <xdr:colOff>1924050</xdr:colOff>
                    <xdr:row>36</xdr:row>
                    <xdr:rowOff>219075</xdr:rowOff>
                  </to>
                </anchor>
              </controlPr>
            </control>
          </mc:Choice>
        </mc:AlternateContent>
        <mc:AlternateContent xmlns:mc="http://schemas.openxmlformats.org/markup-compatibility/2006">
          <mc:Choice Requires="x14">
            <control shapeId="12315" r:id="rId30" name="Drop Down 27">
              <controlPr defaultSize="0" autoLine="0" autoPict="0">
                <anchor moveWithCells="1">
                  <from>
                    <xdr:col>1</xdr:col>
                    <xdr:colOff>9525</xdr:colOff>
                    <xdr:row>37</xdr:row>
                    <xdr:rowOff>19050</xdr:rowOff>
                  </from>
                  <to>
                    <xdr:col>1</xdr:col>
                    <xdr:colOff>1924050</xdr:colOff>
                    <xdr:row>37</xdr:row>
                    <xdr:rowOff>219075</xdr:rowOff>
                  </to>
                </anchor>
              </controlPr>
            </control>
          </mc:Choice>
        </mc:AlternateContent>
        <mc:AlternateContent xmlns:mc="http://schemas.openxmlformats.org/markup-compatibility/2006">
          <mc:Choice Requires="x14">
            <control shapeId="12316" r:id="rId31" name="Drop Down 28">
              <controlPr defaultSize="0" autoLine="0" autoPict="0">
                <anchor moveWithCells="1">
                  <from>
                    <xdr:col>1</xdr:col>
                    <xdr:colOff>9525</xdr:colOff>
                    <xdr:row>38</xdr:row>
                    <xdr:rowOff>19050</xdr:rowOff>
                  </from>
                  <to>
                    <xdr:col>1</xdr:col>
                    <xdr:colOff>1924050</xdr:colOff>
                    <xdr:row>38</xdr:row>
                    <xdr:rowOff>219075</xdr:rowOff>
                  </to>
                </anchor>
              </controlPr>
            </control>
          </mc:Choice>
        </mc:AlternateContent>
        <mc:AlternateContent xmlns:mc="http://schemas.openxmlformats.org/markup-compatibility/2006">
          <mc:Choice Requires="x14">
            <control shapeId="12317" r:id="rId32" name="Drop Down 29">
              <controlPr defaultSize="0" autoLine="0" autoPict="0">
                <anchor moveWithCells="1">
                  <from>
                    <xdr:col>1</xdr:col>
                    <xdr:colOff>9525</xdr:colOff>
                    <xdr:row>39</xdr:row>
                    <xdr:rowOff>19050</xdr:rowOff>
                  </from>
                  <to>
                    <xdr:col>1</xdr:col>
                    <xdr:colOff>1924050</xdr:colOff>
                    <xdr:row>39</xdr:row>
                    <xdr:rowOff>219075</xdr:rowOff>
                  </to>
                </anchor>
              </controlPr>
            </control>
          </mc:Choice>
        </mc:AlternateContent>
        <mc:AlternateContent xmlns:mc="http://schemas.openxmlformats.org/markup-compatibility/2006">
          <mc:Choice Requires="x14">
            <control shapeId="12318" r:id="rId33" name="Drop Down 30">
              <controlPr defaultSize="0" autoLine="0" autoPict="0">
                <anchor moveWithCells="1">
                  <from>
                    <xdr:col>1</xdr:col>
                    <xdr:colOff>9525</xdr:colOff>
                    <xdr:row>40</xdr:row>
                    <xdr:rowOff>19050</xdr:rowOff>
                  </from>
                  <to>
                    <xdr:col>1</xdr:col>
                    <xdr:colOff>1924050</xdr:colOff>
                    <xdr:row>40</xdr:row>
                    <xdr:rowOff>219075</xdr:rowOff>
                  </to>
                </anchor>
              </controlPr>
            </control>
          </mc:Choice>
        </mc:AlternateContent>
        <mc:AlternateContent xmlns:mc="http://schemas.openxmlformats.org/markup-compatibility/2006">
          <mc:Choice Requires="x14">
            <control shapeId="12319" r:id="rId34" name="Drop Down 31">
              <controlPr defaultSize="0" autoLine="0" autoPict="0">
                <anchor moveWithCells="1">
                  <from>
                    <xdr:col>1</xdr:col>
                    <xdr:colOff>9525</xdr:colOff>
                    <xdr:row>41</xdr:row>
                    <xdr:rowOff>19050</xdr:rowOff>
                  </from>
                  <to>
                    <xdr:col>1</xdr:col>
                    <xdr:colOff>1924050</xdr:colOff>
                    <xdr:row>41</xdr:row>
                    <xdr:rowOff>219075</xdr:rowOff>
                  </to>
                </anchor>
              </controlPr>
            </control>
          </mc:Choice>
        </mc:AlternateContent>
        <mc:AlternateContent xmlns:mc="http://schemas.openxmlformats.org/markup-compatibility/2006">
          <mc:Choice Requires="x14">
            <control shapeId="12320" r:id="rId35" name="Drop Down 32">
              <controlPr defaultSize="0" autoLine="0" autoPict="0">
                <anchor moveWithCells="1">
                  <from>
                    <xdr:col>1</xdr:col>
                    <xdr:colOff>9525</xdr:colOff>
                    <xdr:row>42</xdr:row>
                    <xdr:rowOff>19050</xdr:rowOff>
                  </from>
                  <to>
                    <xdr:col>1</xdr:col>
                    <xdr:colOff>1924050</xdr:colOff>
                    <xdr:row>42</xdr:row>
                    <xdr:rowOff>219075</xdr:rowOff>
                  </to>
                </anchor>
              </controlPr>
            </control>
          </mc:Choice>
        </mc:AlternateContent>
        <mc:AlternateContent xmlns:mc="http://schemas.openxmlformats.org/markup-compatibility/2006">
          <mc:Choice Requires="x14">
            <control shapeId="12321" r:id="rId36" name="Drop Down 33">
              <controlPr defaultSize="0" autoLine="0" autoPict="0">
                <anchor moveWithCells="1">
                  <from>
                    <xdr:col>1</xdr:col>
                    <xdr:colOff>9525</xdr:colOff>
                    <xdr:row>43</xdr:row>
                    <xdr:rowOff>19050</xdr:rowOff>
                  </from>
                  <to>
                    <xdr:col>1</xdr:col>
                    <xdr:colOff>1924050</xdr:colOff>
                    <xdr:row>43</xdr:row>
                    <xdr:rowOff>219075</xdr:rowOff>
                  </to>
                </anchor>
              </controlPr>
            </control>
          </mc:Choice>
        </mc:AlternateContent>
        <mc:AlternateContent xmlns:mc="http://schemas.openxmlformats.org/markup-compatibility/2006">
          <mc:Choice Requires="x14">
            <control shapeId="12322" r:id="rId37" name="Drop Down 34">
              <controlPr defaultSize="0" autoLine="0" autoPict="0">
                <anchor moveWithCells="1">
                  <from>
                    <xdr:col>1</xdr:col>
                    <xdr:colOff>9525</xdr:colOff>
                    <xdr:row>44</xdr:row>
                    <xdr:rowOff>19050</xdr:rowOff>
                  </from>
                  <to>
                    <xdr:col>1</xdr:col>
                    <xdr:colOff>1924050</xdr:colOff>
                    <xdr:row>44</xdr:row>
                    <xdr:rowOff>219075</xdr:rowOff>
                  </to>
                </anchor>
              </controlPr>
            </control>
          </mc:Choice>
        </mc:AlternateContent>
        <mc:AlternateContent xmlns:mc="http://schemas.openxmlformats.org/markup-compatibility/2006">
          <mc:Choice Requires="x14">
            <control shapeId="12323" r:id="rId38" name="Drop Down 35">
              <controlPr defaultSize="0" autoLine="0" autoPict="0">
                <anchor moveWithCells="1">
                  <from>
                    <xdr:col>1</xdr:col>
                    <xdr:colOff>9525</xdr:colOff>
                    <xdr:row>45</xdr:row>
                    <xdr:rowOff>19050</xdr:rowOff>
                  </from>
                  <to>
                    <xdr:col>1</xdr:col>
                    <xdr:colOff>1924050</xdr:colOff>
                    <xdr:row>45</xdr:row>
                    <xdr:rowOff>219075</xdr:rowOff>
                  </to>
                </anchor>
              </controlPr>
            </control>
          </mc:Choice>
        </mc:AlternateContent>
        <mc:AlternateContent xmlns:mc="http://schemas.openxmlformats.org/markup-compatibility/2006">
          <mc:Choice Requires="x14">
            <control shapeId="12324" r:id="rId39" name="Drop Down 36">
              <controlPr defaultSize="0" autoLine="0" autoPict="0">
                <anchor moveWithCells="1">
                  <from>
                    <xdr:col>1</xdr:col>
                    <xdr:colOff>9525</xdr:colOff>
                    <xdr:row>46</xdr:row>
                    <xdr:rowOff>19050</xdr:rowOff>
                  </from>
                  <to>
                    <xdr:col>1</xdr:col>
                    <xdr:colOff>1924050</xdr:colOff>
                    <xdr:row>46</xdr:row>
                    <xdr:rowOff>219075</xdr:rowOff>
                  </to>
                </anchor>
              </controlPr>
            </control>
          </mc:Choice>
        </mc:AlternateContent>
        <mc:AlternateContent xmlns:mc="http://schemas.openxmlformats.org/markup-compatibility/2006">
          <mc:Choice Requires="x14">
            <control shapeId="12325" r:id="rId40" name="Drop Down 37">
              <controlPr defaultSize="0" autoLine="0" autoPict="0">
                <anchor moveWithCells="1">
                  <from>
                    <xdr:col>1</xdr:col>
                    <xdr:colOff>9525</xdr:colOff>
                    <xdr:row>47</xdr:row>
                    <xdr:rowOff>19050</xdr:rowOff>
                  </from>
                  <to>
                    <xdr:col>1</xdr:col>
                    <xdr:colOff>1924050</xdr:colOff>
                    <xdr:row>47</xdr:row>
                    <xdr:rowOff>219075</xdr:rowOff>
                  </to>
                </anchor>
              </controlPr>
            </control>
          </mc:Choice>
        </mc:AlternateContent>
        <mc:AlternateContent xmlns:mc="http://schemas.openxmlformats.org/markup-compatibility/2006">
          <mc:Choice Requires="x14">
            <control shapeId="12326" r:id="rId41" name="Drop Down 38">
              <controlPr defaultSize="0" autoLine="0" autoPict="0">
                <anchor moveWithCells="1">
                  <from>
                    <xdr:col>1</xdr:col>
                    <xdr:colOff>9525</xdr:colOff>
                    <xdr:row>48</xdr:row>
                    <xdr:rowOff>19050</xdr:rowOff>
                  </from>
                  <to>
                    <xdr:col>1</xdr:col>
                    <xdr:colOff>1924050</xdr:colOff>
                    <xdr:row>48</xdr:row>
                    <xdr:rowOff>219075</xdr:rowOff>
                  </to>
                </anchor>
              </controlPr>
            </control>
          </mc:Choice>
        </mc:AlternateContent>
        <mc:AlternateContent xmlns:mc="http://schemas.openxmlformats.org/markup-compatibility/2006">
          <mc:Choice Requires="x14">
            <control shapeId="12327" r:id="rId42" name="Drop Down 39">
              <controlPr defaultSize="0" autoLine="0" autoPict="0">
                <anchor moveWithCells="1">
                  <from>
                    <xdr:col>1</xdr:col>
                    <xdr:colOff>9525</xdr:colOff>
                    <xdr:row>49</xdr:row>
                    <xdr:rowOff>19050</xdr:rowOff>
                  </from>
                  <to>
                    <xdr:col>1</xdr:col>
                    <xdr:colOff>1924050</xdr:colOff>
                    <xdr:row>49</xdr:row>
                    <xdr:rowOff>219075</xdr:rowOff>
                  </to>
                </anchor>
              </controlPr>
            </control>
          </mc:Choice>
        </mc:AlternateContent>
        <mc:AlternateContent xmlns:mc="http://schemas.openxmlformats.org/markup-compatibility/2006">
          <mc:Choice Requires="x14">
            <control shapeId="12328" r:id="rId43" name="Drop Down 40">
              <controlPr defaultSize="0" autoLine="0" autoPict="0">
                <anchor moveWithCells="1">
                  <from>
                    <xdr:col>1</xdr:col>
                    <xdr:colOff>9525</xdr:colOff>
                    <xdr:row>50</xdr:row>
                    <xdr:rowOff>19050</xdr:rowOff>
                  </from>
                  <to>
                    <xdr:col>1</xdr:col>
                    <xdr:colOff>1924050</xdr:colOff>
                    <xdr:row>50</xdr:row>
                    <xdr:rowOff>219075</xdr:rowOff>
                  </to>
                </anchor>
              </controlPr>
            </control>
          </mc:Choice>
        </mc:AlternateContent>
        <mc:AlternateContent xmlns:mc="http://schemas.openxmlformats.org/markup-compatibility/2006">
          <mc:Choice Requires="x14">
            <control shapeId="12329" r:id="rId44" name="Drop Down 41">
              <controlPr defaultSize="0" autoLine="0" autoPict="0">
                <anchor moveWithCells="1">
                  <from>
                    <xdr:col>1</xdr:col>
                    <xdr:colOff>9525</xdr:colOff>
                    <xdr:row>51</xdr:row>
                    <xdr:rowOff>19050</xdr:rowOff>
                  </from>
                  <to>
                    <xdr:col>1</xdr:col>
                    <xdr:colOff>1924050</xdr:colOff>
                    <xdr:row>51</xdr:row>
                    <xdr:rowOff>219075</xdr:rowOff>
                  </to>
                </anchor>
              </controlPr>
            </control>
          </mc:Choice>
        </mc:AlternateContent>
        <mc:AlternateContent xmlns:mc="http://schemas.openxmlformats.org/markup-compatibility/2006">
          <mc:Choice Requires="x14">
            <control shapeId="12330" r:id="rId45" name="Drop Down 42">
              <controlPr defaultSize="0" autoLine="0" autoPict="0">
                <anchor moveWithCells="1">
                  <from>
                    <xdr:col>1</xdr:col>
                    <xdr:colOff>9525</xdr:colOff>
                    <xdr:row>52</xdr:row>
                    <xdr:rowOff>19050</xdr:rowOff>
                  </from>
                  <to>
                    <xdr:col>1</xdr:col>
                    <xdr:colOff>1924050</xdr:colOff>
                    <xdr:row>52</xdr:row>
                    <xdr:rowOff>219075</xdr:rowOff>
                  </to>
                </anchor>
              </controlPr>
            </control>
          </mc:Choice>
        </mc:AlternateContent>
        <mc:AlternateContent xmlns:mc="http://schemas.openxmlformats.org/markup-compatibility/2006">
          <mc:Choice Requires="x14">
            <control shapeId="12331" r:id="rId46" name="Drop Down 43">
              <controlPr defaultSize="0" autoLine="0" autoPict="0">
                <anchor moveWithCells="1">
                  <from>
                    <xdr:col>1</xdr:col>
                    <xdr:colOff>9525</xdr:colOff>
                    <xdr:row>53</xdr:row>
                    <xdr:rowOff>19050</xdr:rowOff>
                  </from>
                  <to>
                    <xdr:col>1</xdr:col>
                    <xdr:colOff>1924050</xdr:colOff>
                    <xdr:row>53</xdr:row>
                    <xdr:rowOff>219075</xdr:rowOff>
                  </to>
                </anchor>
              </controlPr>
            </control>
          </mc:Choice>
        </mc:AlternateContent>
        <mc:AlternateContent xmlns:mc="http://schemas.openxmlformats.org/markup-compatibility/2006">
          <mc:Choice Requires="x14">
            <control shapeId="12332" r:id="rId47" name="Drop Down 44">
              <controlPr defaultSize="0" autoLine="0" autoPict="0">
                <anchor moveWithCells="1">
                  <from>
                    <xdr:col>1</xdr:col>
                    <xdr:colOff>9525</xdr:colOff>
                    <xdr:row>54</xdr:row>
                    <xdr:rowOff>19050</xdr:rowOff>
                  </from>
                  <to>
                    <xdr:col>1</xdr:col>
                    <xdr:colOff>1924050</xdr:colOff>
                    <xdr:row>54</xdr:row>
                    <xdr:rowOff>219075</xdr:rowOff>
                  </to>
                </anchor>
              </controlPr>
            </control>
          </mc:Choice>
        </mc:AlternateContent>
        <mc:AlternateContent xmlns:mc="http://schemas.openxmlformats.org/markup-compatibility/2006">
          <mc:Choice Requires="x14">
            <control shapeId="12333" r:id="rId48" name="Drop Down 45">
              <controlPr defaultSize="0" autoLine="0" autoPict="0">
                <anchor moveWithCells="1">
                  <from>
                    <xdr:col>1</xdr:col>
                    <xdr:colOff>9525</xdr:colOff>
                    <xdr:row>55</xdr:row>
                    <xdr:rowOff>19050</xdr:rowOff>
                  </from>
                  <to>
                    <xdr:col>1</xdr:col>
                    <xdr:colOff>1924050</xdr:colOff>
                    <xdr:row>55</xdr:row>
                    <xdr:rowOff>219075</xdr:rowOff>
                  </to>
                </anchor>
              </controlPr>
            </control>
          </mc:Choice>
        </mc:AlternateContent>
        <mc:AlternateContent xmlns:mc="http://schemas.openxmlformats.org/markup-compatibility/2006">
          <mc:Choice Requires="x14">
            <control shapeId="12334" r:id="rId49" name="Check Box 46">
              <controlPr defaultSize="0" autoFill="0" autoLine="0" autoPict="0">
                <anchor moveWithCells="1">
                  <from>
                    <xdr:col>10</xdr:col>
                    <xdr:colOff>247650</xdr:colOff>
                    <xdr:row>59</xdr:row>
                    <xdr:rowOff>0</xdr:rowOff>
                  </from>
                  <to>
                    <xdr:col>10</xdr:col>
                    <xdr:colOff>476250</xdr:colOff>
                    <xdr:row>59</xdr:row>
                    <xdr:rowOff>190500</xdr:rowOff>
                  </to>
                </anchor>
              </controlPr>
            </control>
          </mc:Choice>
        </mc:AlternateContent>
      </controls>
    </mc:Choice>
  </mc:AlternateConten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3"/>
  <dimension ref="A1:R112"/>
  <sheetViews>
    <sheetView showGridLines="0" zoomScaleNormal="100" workbookViewId="0">
      <selection activeCell="C12" sqref="C12:C56"/>
    </sheetView>
  </sheetViews>
  <sheetFormatPr defaultRowHeight="12.75" x14ac:dyDescent="0.2"/>
  <cols>
    <col min="1" max="1" width="3.7109375" customWidth="1"/>
    <col min="2" max="2" width="29.28515625" customWidth="1"/>
    <col min="3" max="3" width="3.42578125" hidden="1" customWidth="1"/>
    <col min="4" max="4" width="4.7109375" customWidth="1"/>
    <col min="5" max="6" width="16" customWidth="1"/>
    <col min="7" max="7" width="10.7109375" customWidth="1"/>
    <col min="8" max="8" width="6" customWidth="1"/>
    <col min="9" max="9" width="10.7109375" customWidth="1"/>
    <col min="10" max="10" width="6" customWidth="1"/>
    <col min="11" max="11" width="10.7109375" customWidth="1"/>
    <col min="12" max="12" width="6" customWidth="1"/>
    <col min="13" max="13" width="9.7109375" customWidth="1"/>
    <col min="14" max="14" width="3.28515625" hidden="1" customWidth="1"/>
    <col min="15" max="15" width="11.28515625" customWidth="1"/>
    <col min="16" max="16" width="10.7109375" customWidth="1"/>
    <col min="17" max="17" width="5.7109375" customWidth="1"/>
    <col min="18" max="18" width="10.7109375" customWidth="1"/>
    <col min="19" max="19" width="12.7109375" customWidth="1"/>
  </cols>
  <sheetData>
    <row r="1" spans="1:18" ht="26.1" customHeight="1" x14ac:dyDescent="0.4">
      <c r="A1" s="1372" t="s">
        <v>372</v>
      </c>
      <c r="B1" s="1540"/>
      <c r="C1" s="216"/>
      <c r="D1" s="1541" t="s">
        <v>364</v>
      </c>
      <c r="E1" s="1374"/>
      <c r="F1" s="1374"/>
      <c r="G1" s="1374"/>
      <c r="H1" s="1374"/>
      <c r="I1" s="1374"/>
      <c r="J1" s="1374"/>
      <c r="K1" s="1542"/>
      <c r="L1" s="1380">
        <f>IF('Complete This Page'!G11="",YEAR('Complete This Page'!H11),'Complete This Page'!G11)</f>
        <v>2018</v>
      </c>
      <c r="M1" s="1381"/>
      <c r="O1" s="171"/>
      <c r="P1" s="171"/>
      <c r="Q1" s="171"/>
      <c r="R1" s="171"/>
    </row>
    <row r="2" spans="1:18" ht="11.25" customHeight="1" x14ac:dyDescent="0.2">
      <c r="A2" s="1545" t="s">
        <v>159</v>
      </c>
      <c r="B2" s="1546"/>
      <c r="C2" s="217"/>
      <c r="D2" s="1543"/>
      <c r="E2" s="1375"/>
      <c r="F2" s="1375"/>
      <c r="G2" s="1375"/>
      <c r="H2" s="1375"/>
      <c r="I2" s="1375"/>
      <c r="J2" s="1375"/>
      <c r="K2" s="1544"/>
      <c r="L2" s="1382" t="str">
        <f>+'Complete This Page'!J1</f>
        <v>NPAC v2018.0</v>
      </c>
      <c r="M2" s="1383"/>
      <c r="O2" s="786"/>
      <c r="P2" s="171"/>
      <c r="Q2" s="171"/>
      <c r="R2" s="171"/>
    </row>
    <row r="3" spans="1:18" x14ac:dyDescent="0.2">
      <c r="A3" s="1" t="s">
        <v>467</v>
      </c>
      <c r="B3" s="879"/>
      <c r="C3" s="879"/>
      <c r="D3" s="879"/>
      <c r="E3" s="879"/>
      <c r="F3" s="879"/>
      <c r="G3" s="879"/>
      <c r="H3" s="879"/>
      <c r="I3" s="880"/>
      <c r="J3" s="334"/>
      <c r="K3" s="335" t="s">
        <v>466</v>
      </c>
      <c r="L3" s="1"/>
      <c r="M3" s="1"/>
      <c r="O3" s="171"/>
      <c r="P3" s="171"/>
      <c r="Q3" s="171"/>
      <c r="R3" s="171"/>
    </row>
    <row r="4" spans="1:18" ht="18" x14ac:dyDescent="0.25">
      <c r="A4" s="881"/>
      <c r="B4" s="1377">
        <f>'Complete This Page'!B3</f>
        <v>0</v>
      </c>
      <c r="C4" s="1377"/>
      <c r="D4" s="1377"/>
      <c r="E4" s="1377"/>
      <c r="F4" s="1377"/>
      <c r="G4" s="1377"/>
      <c r="H4" s="1377"/>
      <c r="I4" s="1377"/>
      <c r="J4" s="1378"/>
      <c r="K4" s="1350">
        <f>'Complete This Page'!G3</f>
        <v>0</v>
      </c>
      <c r="L4" s="1351"/>
      <c r="M4" s="1351"/>
      <c r="O4" s="786"/>
      <c r="P4" s="171"/>
      <c r="Q4" s="171"/>
      <c r="R4" s="171"/>
    </row>
    <row r="5" spans="1:18" s="7" customFormat="1" ht="8.25" x14ac:dyDescent="0.15">
      <c r="L5" s="8"/>
      <c r="M5" s="603"/>
      <c r="O5" s="604"/>
      <c r="P5" s="604"/>
      <c r="Q5" s="604"/>
      <c r="R5" s="604"/>
    </row>
    <row r="6" spans="1:18" x14ac:dyDescent="0.2">
      <c r="B6" s="1550" t="s">
        <v>314</v>
      </c>
      <c r="E6" s="1526" t="s">
        <v>628</v>
      </c>
      <c r="F6" s="1527"/>
      <c r="G6" s="674">
        <f>IF(Overflow!G6="","",Overflow!G6)</f>
        <v>0</v>
      </c>
      <c r="I6" s="1534" t="s">
        <v>631</v>
      </c>
      <c r="J6" s="1535"/>
      <c r="K6" s="675">
        <f>IF(Overflow!K6="","",Overflow!K6)</f>
        <v>0</v>
      </c>
      <c r="L6" s="320"/>
      <c r="N6" s="340">
        <f>IF(G8&gt;0,1,0)</f>
        <v>0</v>
      </c>
      <c r="O6" s="171"/>
      <c r="P6" s="171"/>
      <c r="Q6" s="171"/>
      <c r="R6" s="171"/>
    </row>
    <row r="7" spans="1:18" x14ac:dyDescent="0.2">
      <c r="B7" s="1551"/>
      <c r="D7" s="329"/>
      <c r="E7" s="1528" t="s">
        <v>629</v>
      </c>
      <c r="F7" s="1529"/>
      <c r="G7" s="674">
        <f>IF(Overflow!G7="","",Overflow!G7)</f>
        <v>0</v>
      </c>
      <c r="H7" s="321"/>
      <c r="I7" s="333"/>
      <c r="J7" s="321"/>
      <c r="K7" s="320"/>
      <c r="L7" s="320"/>
      <c r="N7" s="340">
        <f>IF(K6&gt;0,1,0)</f>
        <v>0</v>
      </c>
      <c r="O7" s="171"/>
      <c r="P7" s="342"/>
      <c r="Q7" s="342"/>
      <c r="R7" s="343"/>
    </row>
    <row r="8" spans="1:18" x14ac:dyDescent="0.2">
      <c r="B8" s="1551"/>
      <c r="D8" s="329"/>
      <c r="E8" s="1532" t="s">
        <v>630</v>
      </c>
      <c r="F8" s="1533"/>
      <c r="G8" s="599">
        <f>SUM(G6:G7)</f>
        <v>0</v>
      </c>
      <c r="H8" s="321"/>
      <c r="I8" s="1536" t="s">
        <v>632</v>
      </c>
      <c r="J8" s="1537"/>
      <c r="K8" s="675">
        <f>IF(Overflow!K8="","",Overflow!K8)</f>
        <v>0</v>
      </c>
      <c r="N8" s="340">
        <f>IF(K8&gt;0,1,0)</f>
        <v>0</v>
      </c>
      <c r="O8" s="171"/>
      <c r="P8" s="171"/>
      <c r="Q8" s="171"/>
      <c r="R8" s="171"/>
    </row>
    <row r="9" spans="1:18" s="7" customFormat="1" ht="11.25" customHeight="1" x14ac:dyDescent="0.15">
      <c r="N9" s="605">
        <f>SUM(N6:N8)</f>
        <v>0</v>
      </c>
      <c r="O9" s="604"/>
      <c r="P9" s="604"/>
      <c r="Q9" s="604"/>
      <c r="R9" s="604"/>
    </row>
    <row r="10" spans="1:18" s="1" customFormat="1" ht="11.25" x14ac:dyDescent="0.2">
      <c r="B10" s="322"/>
      <c r="D10" s="1547" t="s">
        <v>588</v>
      </c>
      <c r="E10" s="1530" t="s">
        <v>621</v>
      </c>
      <c r="F10" s="1531"/>
      <c r="G10" s="1531"/>
      <c r="H10" s="1538"/>
      <c r="I10" s="1530" t="s">
        <v>627</v>
      </c>
      <c r="J10" s="1531"/>
      <c r="K10" s="1006" t="s">
        <v>1670</v>
      </c>
      <c r="L10" s="1007"/>
      <c r="M10" s="21" t="s">
        <v>620</v>
      </c>
      <c r="O10" s="344"/>
      <c r="P10" s="344"/>
      <c r="Q10" s="344"/>
      <c r="R10" s="344"/>
    </row>
    <row r="11" spans="1:18" x14ac:dyDescent="0.2">
      <c r="B11" s="323" t="s">
        <v>618</v>
      </c>
      <c r="C11" s="324" t="s">
        <v>164</v>
      </c>
      <c r="D11" s="1548"/>
      <c r="E11" s="22" t="s">
        <v>622</v>
      </c>
      <c r="F11" s="22" t="s">
        <v>623</v>
      </c>
      <c r="G11" s="22" t="s">
        <v>624</v>
      </c>
      <c r="H11" s="22" t="s">
        <v>625</v>
      </c>
      <c r="I11" s="22" t="s">
        <v>619</v>
      </c>
      <c r="J11" s="22" t="s">
        <v>625</v>
      </c>
      <c r="K11" s="22" t="s">
        <v>626</v>
      </c>
      <c r="L11" s="22" t="s">
        <v>625</v>
      </c>
      <c r="M11" s="22"/>
      <c r="O11" s="171"/>
      <c r="P11" s="171"/>
      <c r="Q11" s="171"/>
      <c r="R11" s="171"/>
    </row>
    <row r="12" spans="1:18" ht="18" customHeight="1" x14ac:dyDescent="0.2">
      <c r="A12" s="325">
        <v>226</v>
      </c>
      <c r="B12" s="878"/>
      <c r="C12" s="326">
        <v>1</v>
      </c>
      <c r="D12" s="327">
        <f>LOOKUP(C12,Cities!A$3:A$343,Cities!B$3:B$343)</f>
        <v>0</v>
      </c>
      <c r="E12" s="332">
        <v>0</v>
      </c>
      <c r="F12" s="332">
        <v>0</v>
      </c>
      <c r="G12" s="331">
        <f t="shared" ref="G12:G56" si="0">+E12+F12</f>
        <v>0</v>
      </c>
      <c r="H12" s="914" t="str">
        <f t="shared" ref="H12:H56" si="1">IF(G$8&gt;0,ROUND(G12/G$8,6),"n/a")</f>
        <v>n/a</v>
      </c>
      <c r="I12" s="332">
        <v>0</v>
      </c>
      <c r="J12" s="914" t="str">
        <f>IF(Overflow!K$6&gt;0,ROUND(I12/Overflow!K$6,6),"n/a")</f>
        <v>n/a</v>
      </c>
      <c r="K12" s="332">
        <v>0</v>
      </c>
      <c r="L12" s="914" t="str">
        <f>IF(Overflow!K$8&gt;0,ROUND(K12/Overflow!K$8,6),"n/a")</f>
        <v>n/a</v>
      </c>
      <c r="M12" s="330">
        <f>IF(Overflow!G$8+Overflow!K$6+Overflow!K$8=0,0,ROUND((IF(H12="n/a",0,H12)+IF(J12="n/a",0,J12)+IF(L12="n/a",0,L12))/N$9,6))</f>
        <v>0</v>
      </c>
      <c r="O12" s="785">
        <f>LOOKUP(C12,Cities!A$3:A$343,Cities!AA$3:AA$343)</f>
        <v>0</v>
      </c>
      <c r="P12" s="171"/>
      <c r="Q12" s="171"/>
      <c r="R12" s="171"/>
    </row>
    <row r="13" spans="1:18" ht="18" customHeight="1" x14ac:dyDescent="0.2">
      <c r="A13" s="325">
        <f>A12+1</f>
        <v>227</v>
      </c>
      <c r="B13" s="878"/>
      <c r="C13" s="326">
        <v>1</v>
      </c>
      <c r="D13" s="327">
        <f>LOOKUP(C13,Cities!A$3:A$343,Cities!B$3:B$343)</f>
        <v>0</v>
      </c>
      <c r="E13" s="332">
        <v>0</v>
      </c>
      <c r="F13" s="332">
        <v>0</v>
      </c>
      <c r="G13" s="331">
        <f t="shared" si="0"/>
        <v>0</v>
      </c>
      <c r="H13" s="914" t="str">
        <f t="shared" si="1"/>
        <v>n/a</v>
      </c>
      <c r="I13" s="332">
        <v>0</v>
      </c>
      <c r="J13" s="914" t="str">
        <f>IF(Overflow!K$6&gt;0,ROUND(I13/Overflow!K$6,6),"n/a")</f>
        <v>n/a</v>
      </c>
      <c r="K13" s="332">
        <v>0</v>
      </c>
      <c r="L13" s="914" t="str">
        <f>IF(Overflow!K$8&gt;0,ROUND(K13/Overflow!K$8,6),"n/a")</f>
        <v>n/a</v>
      </c>
      <c r="M13" s="330">
        <f>IF(Overflow!G$8+Overflow!K$6+Overflow!K$8=0,0,ROUND((IF(H13="n/a",0,H13)+IF(J13="n/a",0,J13)+IF(L13="n/a",0,L13))/N$9,6))</f>
        <v>0</v>
      </c>
      <c r="O13" s="785">
        <f>LOOKUP(C13,Cities!A$3:A$343,Cities!AA$3:AA$343)</f>
        <v>0</v>
      </c>
      <c r="P13" s="171"/>
      <c r="Q13" s="171"/>
      <c r="R13" s="171"/>
    </row>
    <row r="14" spans="1:18" ht="18" customHeight="1" x14ac:dyDescent="0.2">
      <c r="A14" s="325">
        <f t="shared" ref="A14:A56" si="2">A13+1</f>
        <v>228</v>
      </c>
      <c r="B14" s="878"/>
      <c r="C14" s="326">
        <v>1</v>
      </c>
      <c r="D14" s="327">
        <f>LOOKUP(C14,Cities!A$3:A$343,Cities!B$3:B$343)</f>
        <v>0</v>
      </c>
      <c r="E14" s="332">
        <v>0</v>
      </c>
      <c r="F14" s="332">
        <v>0</v>
      </c>
      <c r="G14" s="331">
        <f t="shared" si="0"/>
        <v>0</v>
      </c>
      <c r="H14" s="914" t="str">
        <f t="shared" si="1"/>
        <v>n/a</v>
      </c>
      <c r="I14" s="332">
        <v>0</v>
      </c>
      <c r="J14" s="914" t="str">
        <f>IF(Overflow!K$6&gt;0,ROUND(I14/Overflow!K$6,6),"n/a")</f>
        <v>n/a</v>
      </c>
      <c r="K14" s="332">
        <v>0</v>
      </c>
      <c r="L14" s="914" t="str">
        <f>IF(Overflow!K$8&gt;0,ROUND(K14/Overflow!K$8,6),"n/a")</f>
        <v>n/a</v>
      </c>
      <c r="M14" s="330">
        <f>IF(Overflow!G$8+Overflow!K$6+Overflow!K$8=0,0,ROUND((IF(H14="n/a",0,H14)+IF(J14="n/a",0,J14)+IF(L14="n/a",0,L14))/N$9,6))</f>
        <v>0</v>
      </c>
      <c r="O14" s="785">
        <f>LOOKUP(C14,Cities!A$3:A$343,Cities!AA$3:AA$343)</f>
        <v>0</v>
      </c>
      <c r="P14" s="171"/>
      <c r="Q14" s="171"/>
      <c r="R14" s="171"/>
    </row>
    <row r="15" spans="1:18" ht="18" customHeight="1" x14ac:dyDescent="0.2">
      <c r="A15" s="325">
        <f t="shared" si="2"/>
        <v>229</v>
      </c>
      <c r="B15" s="878"/>
      <c r="C15" s="326">
        <v>1</v>
      </c>
      <c r="D15" s="327">
        <f>LOOKUP(C15,Cities!A$3:A$343,Cities!B$3:B$343)</f>
        <v>0</v>
      </c>
      <c r="E15" s="332">
        <v>0</v>
      </c>
      <c r="F15" s="332">
        <v>0</v>
      </c>
      <c r="G15" s="331">
        <f t="shared" si="0"/>
        <v>0</v>
      </c>
      <c r="H15" s="914" t="str">
        <f t="shared" si="1"/>
        <v>n/a</v>
      </c>
      <c r="I15" s="332">
        <v>0</v>
      </c>
      <c r="J15" s="914" t="str">
        <f>IF(Overflow!K$6&gt;0,ROUND(I15/Overflow!K$6,6),"n/a")</f>
        <v>n/a</v>
      </c>
      <c r="K15" s="332">
        <v>0</v>
      </c>
      <c r="L15" s="914" t="str">
        <f>IF(Overflow!K$8&gt;0,ROUND(K15/Overflow!K$8,6),"n/a")</f>
        <v>n/a</v>
      </c>
      <c r="M15" s="330">
        <f>IF(Overflow!G$8+Overflow!K$6+Overflow!K$8=0,0,ROUND((IF(H15="n/a",0,H15)+IF(J15="n/a",0,J15)+IF(L15="n/a",0,L15))/N$9,6))</f>
        <v>0</v>
      </c>
      <c r="O15" s="785">
        <f>LOOKUP(C15,Cities!A$3:A$343,Cities!AA$3:AA$343)</f>
        <v>0</v>
      </c>
      <c r="P15" s="171"/>
      <c r="Q15" s="171"/>
      <c r="R15" s="171"/>
    </row>
    <row r="16" spans="1:18" ht="18" customHeight="1" x14ac:dyDescent="0.2">
      <c r="A16" s="325">
        <f t="shared" si="2"/>
        <v>230</v>
      </c>
      <c r="B16" s="878"/>
      <c r="C16" s="326">
        <v>1</v>
      </c>
      <c r="D16" s="327">
        <f>LOOKUP(C16,Cities!A$3:A$343,Cities!B$3:B$343)</f>
        <v>0</v>
      </c>
      <c r="E16" s="332">
        <v>0</v>
      </c>
      <c r="F16" s="332">
        <v>0</v>
      </c>
      <c r="G16" s="331">
        <f t="shared" si="0"/>
        <v>0</v>
      </c>
      <c r="H16" s="914" t="str">
        <f t="shared" si="1"/>
        <v>n/a</v>
      </c>
      <c r="I16" s="332">
        <v>0</v>
      </c>
      <c r="J16" s="914" t="str">
        <f>IF(Overflow!K$6&gt;0,ROUND(I16/Overflow!K$6,6),"n/a")</f>
        <v>n/a</v>
      </c>
      <c r="K16" s="332">
        <v>0</v>
      </c>
      <c r="L16" s="914" t="str">
        <f>IF(Overflow!K$8&gt;0,ROUND(K16/Overflow!K$8,6),"n/a")</f>
        <v>n/a</v>
      </c>
      <c r="M16" s="330">
        <f>IF(Overflow!G$8+Overflow!K$6+Overflow!K$8=0,0,ROUND((IF(H16="n/a",0,H16)+IF(J16="n/a",0,J16)+IF(L16="n/a",0,L16))/N$9,6))</f>
        <v>0</v>
      </c>
      <c r="O16" s="785">
        <f>LOOKUP(C16,Cities!A$3:A$343,Cities!AA$3:AA$343)</f>
        <v>0</v>
      </c>
      <c r="P16" s="171"/>
      <c r="Q16" s="171"/>
      <c r="R16" s="171"/>
    </row>
    <row r="17" spans="1:18" ht="18" customHeight="1" x14ac:dyDescent="0.2">
      <c r="A17" s="325">
        <f t="shared" si="2"/>
        <v>231</v>
      </c>
      <c r="B17" s="878"/>
      <c r="C17" s="326">
        <v>1</v>
      </c>
      <c r="D17" s="327">
        <f>LOOKUP(C17,Cities!A$3:A$343,Cities!B$3:B$343)</f>
        <v>0</v>
      </c>
      <c r="E17" s="332">
        <v>0</v>
      </c>
      <c r="F17" s="332">
        <v>0</v>
      </c>
      <c r="G17" s="331">
        <f t="shared" si="0"/>
        <v>0</v>
      </c>
      <c r="H17" s="914" t="str">
        <f t="shared" si="1"/>
        <v>n/a</v>
      </c>
      <c r="I17" s="332">
        <v>0</v>
      </c>
      <c r="J17" s="914" t="str">
        <f>IF(Overflow!K$6&gt;0,ROUND(I17/Overflow!K$6,6),"n/a")</f>
        <v>n/a</v>
      </c>
      <c r="K17" s="332">
        <v>0</v>
      </c>
      <c r="L17" s="914" t="str">
        <f>IF(Overflow!K$8&gt;0,ROUND(K17/Overflow!K$8,6),"n/a")</f>
        <v>n/a</v>
      </c>
      <c r="M17" s="330">
        <f>IF(Overflow!G$8+Overflow!K$6+Overflow!K$8=0,0,ROUND((IF(H17="n/a",0,H17)+IF(J17="n/a",0,J17)+IF(L17="n/a",0,L17))/N$9,6))</f>
        <v>0</v>
      </c>
      <c r="O17" s="785">
        <f>LOOKUP(C17,Cities!A$3:A$343,Cities!AA$3:AA$343)</f>
        <v>0</v>
      </c>
      <c r="P17" s="171"/>
      <c r="Q17" s="171"/>
      <c r="R17" s="171"/>
    </row>
    <row r="18" spans="1:18" ht="18" customHeight="1" x14ac:dyDescent="0.2">
      <c r="A18" s="325">
        <f t="shared" si="2"/>
        <v>232</v>
      </c>
      <c r="B18" s="878"/>
      <c r="C18" s="326">
        <v>1</v>
      </c>
      <c r="D18" s="327">
        <f>LOOKUP(C18,Cities!A$3:A$343,Cities!B$3:B$343)</f>
        <v>0</v>
      </c>
      <c r="E18" s="332">
        <v>0</v>
      </c>
      <c r="F18" s="332">
        <v>0</v>
      </c>
      <c r="G18" s="331">
        <f t="shared" si="0"/>
        <v>0</v>
      </c>
      <c r="H18" s="914" t="str">
        <f t="shared" si="1"/>
        <v>n/a</v>
      </c>
      <c r="I18" s="332">
        <v>0</v>
      </c>
      <c r="J18" s="914" t="str">
        <f>IF(Overflow!K$6&gt;0,ROUND(I18/Overflow!K$6,6),"n/a")</f>
        <v>n/a</v>
      </c>
      <c r="K18" s="332">
        <v>0</v>
      </c>
      <c r="L18" s="914" t="str">
        <f>IF(Overflow!K$8&gt;0,ROUND(K18/Overflow!K$8,6),"n/a")</f>
        <v>n/a</v>
      </c>
      <c r="M18" s="330">
        <f>IF(Overflow!G$8+Overflow!K$6+Overflow!K$8=0,0,ROUND((IF(H18="n/a",0,H18)+IF(J18="n/a",0,J18)+IF(L18="n/a",0,L18))/N$9,6))</f>
        <v>0</v>
      </c>
      <c r="O18" s="785">
        <f>LOOKUP(C18,Cities!A$3:A$343,Cities!AA$3:AA$343)</f>
        <v>0</v>
      </c>
      <c r="P18" s="171"/>
      <c r="Q18" s="171"/>
      <c r="R18" s="171"/>
    </row>
    <row r="19" spans="1:18" ht="18" customHeight="1" x14ac:dyDescent="0.2">
      <c r="A19" s="325">
        <f t="shared" si="2"/>
        <v>233</v>
      </c>
      <c r="B19" s="878"/>
      <c r="C19" s="326">
        <v>1</v>
      </c>
      <c r="D19" s="327">
        <f>LOOKUP(C19,Cities!A$3:A$343,Cities!B$3:B$343)</f>
        <v>0</v>
      </c>
      <c r="E19" s="332">
        <v>0</v>
      </c>
      <c r="F19" s="332">
        <v>0</v>
      </c>
      <c r="G19" s="331">
        <f t="shared" si="0"/>
        <v>0</v>
      </c>
      <c r="H19" s="914" t="str">
        <f t="shared" si="1"/>
        <v>n/a</v>
      </c>
      <c r="I19" s="332">
        <v>0</v>
      </c>
      <c r="J19" s="914" t="str">
        <f>IF(Overflow!K$6&gt;0,ROUND(I19/Overflow!K$6,6),"n/a")</f>
        <v>n/a</v>
      </c>
      <c r="K19" s="332">
        <v>0</v>
      </c>
      <c r="L19" s="914" t="str">
        <f>IF(Overflow!K$8&gt;0,ROUND(K19/Overflow!K$8,6),"n/a")</f>
        <v>n/a</v>
      </c>
      <c r="M19" s="330">
        <f>IF(Overflow!G$8+Overflow!K$6+Overflow!K$8=0,0,ROUND((IF(H19="n/a",0,H19)+IF(J19="n/a",0,J19)+IF(L19="n/a",0,L19))/N$9,6))</f>
        <v>0</v>
      </c>
      <c r="O19" s="785">
        <f>LOOKUP(C19,Cities!A$3:A$343,Cities!AA$3:AA$343)</f>
        <v>0</v>
      </c>
      <c r="P19" s="171"/>
      <c r="Q19" s="171"/>
      <c r="R19" s="171"/>
    </row>
    <row r="20" spans="1:18" ht="18" customHeight="1" x14ac:dyDescent="0.2">
      <c r="A20" s="325">
        <f t="shared" si="2"/>
        <v>234</v>
      </c>
      <c r="B20" s="878"/>
      <c r="C20" s="326">
        <v>1</v>
      </c>
      <c r="D20" s="327">
        <f>LOOKUP(C20,Cities!A$3:A$343,Cities!B$3:B$343)</f>
        <v>0</v>
      </c>
      <c r="E20" s="332">
        <v>0</v>
      </c>
      <c r="F20" s="332">
        <v>0</v>
      </c>
      <c r="G20" s="331">
        <f t="shared" si="0"/>
        <v>0</v>
      </c>
      <c r="H20" s="914" t="str">
        <f t="shared" si="1"/>
        <v>n/a</v>
      </c>
      <c r="I20" s="332">
        <v>0</v>
      </c>
      <c r="J20" s="914" t="str">
        <f>IF(Overflow!K$6&gt;0,ROUND(I20/Overflow!K$6,6),"n/a")</f>
        <v>n/a</v>
      </c>
      <c r="K20" s="332">
        <v>0</v>
      </c>
      <c r="L20" s="914" t="str">
        <f>IF(Overflow!K$8&gt;0,ROUND(K20/Overflow!K$8,6),"n/a")</f>
        <v>n/a</v>
      </c>
      <c r="M20" s="330">
        <f>IF(Overflow!G$8+Overflow!K$6+Overflow!K$8=0,0,ROUND((IF(H20="n/a",0,H20)+IF(J20="n/a",0,J20)+IF(L20="n/a",0,L20))/N$9,6))</f>
        <v>0</v>
      </c>
      <c r="O20" s="785">
        <f>LOOKUP(C20,Cities!A$3:A$343,Cities!AA$3:AA$343)</f>
        <v>0</v>
      </c>
      <c r="P20" s="171"/>
      <c r="Q20" s="171"/>
      <c r="R20" s="171"/>
    </row>
    <row r="21" spans="1:18" ht="18" customHeight="1" x14ac:dyDescent="0.2">
      <c r="A21" s="325">
        <f t="shared" si="2"/>
        <v>235</v>
      </c>
      <c r="B21" s="878"/>
      <c r="C21" s="326">
        <v>1</v>
      </c>
      <c r="D21" s="327">
        <f>LOOKUP(C21,Cities!A$3:A$343,Cities!B$3:B$343)</f>
        <v>0</v>
      </c>
      <c r="E21" s="332">
        <v>0</v>
      </c>
      <c r="F21" s="332">
        <v>0</v>
      </c>
      <c r="G21" s="331">
        <f t="shared" si="0"/>
        <v>0</v>
      </c>
      <c r="H21" s="914" t="str">
        <f t="shared" si="1"/>
        <v>n/a</v>
      </c>
      <c r="I21" s="332">
        <v>0</v>
      </c>
      <c r="J21" s="914" t="str">
        <f>IF(Overflow!K$6&gt;0,ROUND(I21/Overflow!K$6,6),"n/a")</f>
        <v>n/a</v>
      </c>
      <c r="K21" s="332">
        <v>0</v>
      </c>
      <c r="L21" s="914" t="str">
        <f>IF(Overflow!K$8&gt;0,ROUND(K21/Overflow!K$8,6),"n/a")</f>
        <v>n/a</v>
      </c>
      <c r="M21" s="330">
        <f>IF(Overflow!G$8+Overflow!K$6+Overflow!K$8=0,0,ROUND((IF(H21="n/a",0,H21)+IF(J21="n/a",0,J21)+IF(L21="n/a",0,L21))/N$9,6))</f>
        <v>0</v>
      </c>
      <c r="O21" s="785">
        <f>LOOKUP(C21,Cities!A$3:A$343,Cities!AA$3:AA$343)</f>
        <v>0</v>
      </c>
      <c r="P21" s="171"/>
      <c r="Q21" s="171"/>
      <c r="R21" s="171"/>
    </row>
    <row r="22" spans="1:18" ht="18" customHeight="1" x14ac:dyDescent="0.2">
      <c r="A22" s="325">
        <f t="shared" si="2"/>
        <v>236</v>
      </c>
      <c r="B22" s="878"/>
      <c r="C22" s="326">
        <v>1</v>
      </c>
      <c r="D22" s="327">
        <f>LOOKUP(C22,Cities!A$3:A$343,Cities!B$3:B$343)</f>
        <v>0</v>
      </c>
      <c r="E22" s="332">
        <v>0</v>
      </c>
      <c r="F22" s="332">
        <v>0</v>
      </c>
      <c r="G22" s="331">
        <f t="shared" si="0"/>
        <v>0</v>
      </c>
      <c r="H22" s="914" t="str">
        <f t="shared" si="1"/>
        <v>n/a</v>
      </c>
      <c r="I22" s="332">
        <v>0</v>
      </c>
      <c r="J22" s="914" t="str">
        <f>IF(Overflow!K$6&gt;0,ROUND(I22/Overflow!K$6,6),"n/a")</f>
        <v>n/a</v>
      </c>
      <c r="K22" s="332">
        <v>0</v>
      </c>
      <c r="L22" s="914" t="str">
        <f>IF(Overflow!K$8&gt;0,ROUND(K22/Overflow!K$8,6),"n/a")</f>
        <v>n/a</v>
      </c>
      <c r="M22" s="330">
        <f>IF(Overflow!G$8+Overflow!K$6+Overflow!K$8=0,0,ROUND((IF(H22="n/a",0,H22)+IF(J22="n/a",0,J22)+IF(L22="n/a",0,L22))/N$9,6))</f>
        <v>0</v>
      </c>
      <c r="O22" s="785">
        <f>LOOKUP(C22,Cities!A$3:A$343,Cities!AA$3:AA$343)</f>
        <v>0</v>
      </c>
      <c r="P22" s="171"/>
      <c r="Q22" s="171"/>
      <c r="R22" s="171"/>
    </row>
    <row r="23" spans="1:18" ht="18" customHeight="1" x14ac:dyDescent="0.2">
      <c r="A23" s="325">
        <f t="shared" si="2"/>
        <v>237</v>
      </c>
      <c r="B23" s="878"/>
      <c r="C23" s="326">
        <v>1</v>
      </c>
      <c r="D23" s="327">
        <f>LOOKUP(C23,Cities!A$3:A$343,Cities!B$3:B$343)</f>
        <v>0</v>
      </c>
      <c r="E23" s="332">
        <v>0</v>
      </c>
      <c r="F23" s="332">
        <v>0</v>
      </c>
      <c r="G23" s="331">
        <f t="shared" si="0"/>
        <v>0</v>
      </c>
      <c r="H23" s="914" t="str">
        <f t="shared" si="1"/>
        <v>n/a</v>
      </c>
      <c r="I23" s="332">
        <v>0</v>
      </c>
      <c r="J23" s="914" t="str">
        <f>IF(Overflow!K$6&gt;0,ROUND(I23/Overflow!K$6,6),"n/a")</f>
        <v>n/a</v>
      </c>
      <c r="K23" s="332">
        <v>0</v>
      </c>
      <c r="L23" s="914" t="str">
        <f>IF(Overflow!K$8&gt;0,ROUND(K23/Overflow!K$8,6),"n/a")</f>
        <v>n/a</v>
      </c>
      <c r="M23" s="330">
        <f>IF(Overflow!G$8+Overflow!K$6+Overflow!K$8=0,0,ROUND((IF(H23="n/a",0,H23)+IF(J23="n/a",0,J23)+IF(L23="n/a",0,L23))/N$9,6))</f>
        <v>0</v>
      </c>
      <c r="O23" s="785">
        <f>LOOKUP(C23,Cities!A$3:A$343,Cities!AA$3:AA$343)</f>
        <v>0</v>
      </c>
      <c r="P23" s="171"/>
      <c r="Q23" s="171"/>
      <c r="R23" s="171"/>
    </row>
    <row r="24" spans="1:18" ht="18" customHeight="1" x14ac:dyDescent="0.2">
      <c r="A24" s="325">
        <f t="shared" si="2"/>
        <v>238</v>
      </c>
      <c r="B24" s="878"/>
      <c r="C24" s="326">
        <v>1</v>
      </c>
      <c r="D24" s="327">
        <f>LOOKUP(C24,Cities!A$3:A$343,Cities!B$3:B$343)</f>
        <v>0</v>
      </c>
      <c r="E24" s="332">
        <v>0</v>
      </c>
      <c r="F24" s="332">
        <v>0</v>
      </c>
      <c r="G24" s="331">
        <f t="shared" si="0"/>
        <v>0</v>
      </c>
      <c r="H24" s="914" t="str">
        <f t="shared" si="1"/>
        <v>n/a</v>
      </c>
      <c r="I24" s="332">
        <v>0</v>
      </c>
      <c r="J24" s="914" t="str">
        <f>IF(Overflow!K$6&gt;0,ROUND(I24/Overflow!K$6,6),"n/a")</f>
        <v>n/a</v>
      </c>
      <c r="K24" s="332">
        <v>0</v>
      </c>
      <c r="L24" s="914" t="str">
        <f>IF(Overflow!K$8&gt;0,ROUND(K24/Overflow!K$8,6),"n/a")</f>
        <v>n/a</v>
      </c>
      <c r="M24" s="330">
        <f>IF(Overflow!G$8+Overflow!K$6+Overflow!K$8=0,0,ROUND((IF(H24="n/a",0,H24)+IF(J24="n/a",0,J24)+IF(L24="n/a",0,L24))/N$9,6))</f>
        <v>0</v>
      </c>
      <c r="O24" s="785">
        <f>LOOKUP(C24,Cities!A$3:A$343,Cities!AA$3:AA$343)</f>
        <v>0</v>
      </c>
      <c r="P24" s="171"/>
      <c r="Q24" s="171"/>
      <c r="R24" s="171"/>
    </row>
    <row r="25" spans="1:18" ht="18" customHeight="1" x14ac:dyDescent="0.2">
      <c r="A25" s="325">
        <f t="shared" si="2"/>
        <v>239</v>
      </c>
      <c r="B25" s="878"/>
      <c r="C25" s="326">
        <v>1</v>
      </c>
      <c r="D25" s="327">
        <f>LOOKUP(C25,Cities!A$3:A$343,Cities!B$3:B$343)</f>
        <v>0</v>
      </c>
      <c r="E25" s="332">
        <v>0</v>
      </c>
      <c r="F25" s="332">
        <v>0</v>
      </c>
      <c r="G25" s="331">
        <f t="shared" si="0"/>
        <v>0</v>
      </c>
      <c r="H25" s="914" t="str">
        <f t="shared" si="1"/>
        <v>n/a</v>
      </c>
      <c r="I25" s="332">
        <v>0</v>
      </c>
      <c r="J25" s="914" t="str">
        <f>IF(Overflow!K$6&gt;0,ROUND(I25/Overflow!K$6,6),"n/a")</f>
        <v>n/a</v>
      </c>
      <c r="K25" s="332">
        <v>0</v>
      </c>
      <c r="L25" s="914" t="str">
        <f>IF(Overflow!K$8&gt;0,ROUND(K25/Overflow!K$8,6),"n/a")</f>
        <v>n/a</v>
      </c>
      <c r="M25" s="330">
        <f>IF(Overflow!G$8+Overflow!K$6+Overflow!K$8=0,0,ROUND((IF(H25="n/a",0,H25)+IF(J25="n/a",0,J25)+IF(L25="n/a",0,L25))/N$9,6))</f>
        <v>0</v>
      </c>
      <c r="O25" s="785">
        <f>LOOKUP(C25,Cities!A$3:A$343,Cities!AA$3:AA$343)</f>
        <v>0</v>
      </c>
      <c r="P25" s="171"/>
      <c r="Q25" s="171"/>
      <c r="R25" s="171"/>
    </row>
    <row r="26" spans="1:18" ht="18" customHeight="1" x14ac:dyDescent="0.2">
      <c r="A26" s="325">
        <f t="shared" si="2"/>
        <v>240</v>
      </c>
      <c r="B26" s="878"/>
      <c r="C26" s="326">
        <v>1</v>
      </c>
      <c r="D26" s="327">
        <f>LOOKUP(C26,Cities!A$3:A$343,Cities!B$3:B$343)</f>
        <v>0</v>
      </c>
      <c r="E26" s="332">
        <v>0</v>
      </c>
      <c r="F26" s="332">
        <v>0</v>
      </c>
      <c r="G26" s="331">
        <f t="shared" si="0"/>
        <v>0</v>
      </c>
      <c r="H26" s="914" t="str">
        <f t="shared" si="1"/>
        <v>n/a</v>
      </c>
      <c r="I26" s="332">
        <v>0</v>
      </c>
      <c r="J26" s="914" t="str">
        <f>IF(Overflow!K$6&gt;0,ROUND(I26/Overflow!K$6,6),"n/a")</f>
        <v>n/a</v>
      </c>
      <c r="K26" s="332">
        <v>0</v>
      </c>
      <c r="L26" s="914" t="str">
        <f>IF(Overflow!K$8&gt;0,ROUND(K26/Overflow!K$8,6),"n/a")</f>
        <v>n/a</v>
      </c>
      <c r="M26" s="330">
        <f>IF(Overflow!G$8+Overflow!K$6+Overflow!K$8=0,0,ROUND((IF(H26="n/a",0,H26)+IF(J26="n/a",0,J26)+IF(L26="n/a",0,L26))/N$9,6))</f>
        <v>0</v>
      </c>
      <c r="O26" s="785">
        <f>LOOKUP(C26,Cities!A$3:A$343,Cities!AA$3:AA$343)</f>
        <v>0</v>
      </c>
      <c r="P26" s="171"/>
      <c r="Q26" s="171"/>
      <c r="R26" s="171"/>
    </row>
    <row r="27" spans="1:18" s="67" customFormat="1" ht="18" customHeight="1" x14ac:dyDescent="0.2">
      <c r="A27" s="325">
        <f t="shared" si="2"/>
        <v>241</v>
      </c>
      <c r="B27" s="878"/>
      <c r="C27" s="326">
        <v>1</v>
      </c>
      <c r="D27" s="327">
        <f>LOOKUP(C27,Cities!A$3:A$343,Cities!B$3:B$343)</f>
        <v>0</v>
      </c>
      <c r="E27" s="332">
        <v>0</v>
      </c>
      <c r="F27" s="332">
        <v>0</v>
      </c>
      <c r="G27" s="331">
        <f t="shared" si="0"/>
        <v>0</v>
      </c>
      <c r="H27" s="914" t="str">
        <f t="shared" si="1"/>
        <v>n/a</v>
      </c>
      <c r="I27" s="332">
        <v>0</v>
      </c>
      <c r="J27" s="914" t="str">
        <f>IF(Overflow!K$6&gt;0,ROUND(I27/Overflow!K$6,6),"n/a")</f>
        <v>n/a</v>
      </c>
      <c r="K27" s="332">
        <v>0</v>
      </c>
      <c r="L27" s="914" t="str">
        <f>IF(Overflow!K$8&gt;0,ROUND(K27/Overflow!K$8,6),"n/a")</f>
        <v>n/a</v>
      </c>
      <c r="M27" s="330">
        <f>IF(Overflow!G$8+Overflow!K$6+Overflow!K$8=0,0,ROUND((IF(H27="n/a",0,H27)+IF(J27="n/a",0,J27)+IF(L27="n/a",0,L27))/N$9,6))</f>
        <v>0</v>
      </c>
      <c r="O27" s="785">
        <f>LOOKUP(C27,Cities!A$3:A$343,Cities!AA$3:AA$343)</f>
        <v>0</v>
      </c>
      <c r="P27" s="345"/>
      <c r="Q27" s="345"/>
      <c r="R27" s="345"/>
    </row>
    <row r="28" spans="1:18" s="67" customFormat="1" ht="18" customHeight="1" x14ac:dyDescent="0.2">
      <c r="A28" s="325">
        <f t="shared" si="2"/>
        <v>242</v>
      </c>
      <c r="B28" s="878"/>
      <c r="C28" s="326">
        <v>1</v>
      </c>
      <c r="D28" s="327">
        <f>LOOKUP(C28,Cities!A$3:A$343,Cities!B$3:B$343)</f>
        <v>0</v>
      </c>
      <c r="E28" s="332">
        <v>0</v>
      </c>
      <c r="F28" s="332">
        <v>0</v>
      </c>
      <c r="G28" s="331">
        <f t="shared" si="0"/>
        <v>0</v>
      </c>
      <c r="H28" s="914" t="str">
        <f t="shared" si="1"/>
        <v>n/a</v>
      </c>
      <c r="I28" s="332">
        <v>0</v>
      </c>
      <c r="J28" s="914" t="str">
        <f>IF(Overflow!K$6&gt;0,ROUND(I28/Overflow!K$6,6),"n/a")</f>
        <v>n/a</v>
      </c>
      <c r="K28" s="332">
        <v>0</v>
      </c>
      <c r="L28" s="914" t="str">
        <f>IF(Overflow!K$8&gt;0,ROUND(K28/Overflow!K$8,6),"n/a")</f>
        <v>n/a</v>
      </c>
      <c r="M28" s="330">
        <f>IF(Overflow!G$8+Overflow!K$6+Overflow!K$8=0,0,ROUND((IF(H28="n/a",0,H28)+IF(J28="n/a",0,J28)+IF(L28="n/a",0,L28))/N$9,6))</f>
        <v>0</v>
      </c>
      <c r="O28" s="785">
        <f>LOOKUP(C28,Cities!A$3:A$343,Cities!AA$3:AA$343)</f>
        <v>0</v>
      </c>
      <c r="P28" s="345"/>
      <c r="Q28" s="345"/>
      <c r="R28" s="345"/>
    </row>
    <row r="29" spans="1:18" s="67" customFormat="1" ht="18" customHeight="1" x14ac:dyDescent="0.2">
      <c r="A29" s="325">
        <f t="shared" si="2"/>
        <v>243</v>
      </c>
      <c r="B29" s="878"/>
      <c r="C29" s="326">
        <v>1</v>
      </c>
      <c r="D29" s="327">
        <f>LOOKUP(C29,Cities!A$3:A$343,Cities!B$3:B$343)</f>
        <v>0</v>
      </c>
      <c r="E29" s="332">
        <v>0</v>
      </c>
      <c r="F29" s="332">
        <v>0</v>
      </c>
      <c r="G29" s="331">
        <f t="shared" si="0"/>
        <v>0</v>
      </c>
      <c r="H29" s="914" t="str">
        <f t="shared" si="1"/>
        <v>n/a</v>
      </c>
      <c r="I29" s="332">
        <v>0</v>
      </c>
      <c r="J29" s="914" t="str">
        <f>IF(Overflow!K$6&gt;0,ROUND(I29/Overflow!K$6,6),"n/a")</f>
        <v>n/a</v>
      </c>
      <c r="K29" s="332">
        <v>0</v>
      </c>
      <c r="L29" s="914" t="str">
        <f>IF(Overflow!K$8&gt;0,ROUND(K29/Overflow!K$8,6),"n/a")</f>
        <v>n/a</v>
      </c>
      <c r="M29" s="330">
        <f>IF(Overflow!G$8+Overflow!K$6+Overflow!K$8=0,0,ROUND((IF(H29="n/a",0,H29)+IF(J29="n/a",0,J29)+IF(L29="n/a",0,L29))/N$9,6))</f>
        <v>0</v>
      </c>
      <c r="O29" s="785">
        <f>LOOKUP(C29,Cities!A$3:A$343,Cities!AA$3:AA$343)</f>
        <v>0</v>
      </c>
      <c r="P29" s="345"/>
      <c r="Q29" s="345"/>
      <c r="R29" s="345"/>
    </row>
    <row r="30" spans="1:18" s="67" customFormat="1" ht="18" customHeight="1" x14ac:dyDescent="0.2">
      <c r="A30" s="325">
        <f t="shared" si="2"/>
        <v>244</v>
      </c>
      <c r="B30" s="878"/>
      <c r="C30" s="326">
        <v>1</v>
      </c>
      <c r="D30" s="327">
        <f>LOOKUP(C30,Cities!A$3:A$343,Cities!B$3:B$343)</f>
        <v>0</v>
      </c>
      <c r="E30" s="332">
        <v>0</v>
      </c>
      <c r="F30" s="332">
        <v>0</v>
      </c>
      <c r="G30" s="331">
        <f t="shared" si="0"/>
        <v>0</v>
      </c>
      <c r="H30" s="914" t="str">
        <f t="shared" si="1"/>
        <v>n/a</v>
      </c>
      <c r="I30" s="332">
        <v>0</v>
      </c>
      <c r="J30" s="914" t="str">
        <f>IF(Overflow!K$6&gt;0,ROUND(I30/Overflow!K$6,6),"n/a")</f>
        <v>n/a</v>
      </c>
      <c r="K30" s="332">
        <v>0</v>
      </c>
      <c r="L30" s="914" t="str">
        <f>IF(Overflow!K$8&gt;0,ROUND(K30/Overflow!K$8,6),"n/a")</f>
        <v>n/a</v>
      </c>
      <c r="M30" s="330">
        <f>IF(Overflow!G$8+Overflow!K$6+Overflow!K$8=0,0,ROUND((IF(H30="n/a",0,H30)+IF(J30="n/a",0,J30)+IF(L30="n/a",0,L30))/N$9,6))</f>
        <v>0</v>
      </c>
      <c r="O30" s="785">
        <f>LOOKUP(C30,Cities!A$3:A$343,Cities!AA$3:AA$343)</f>
        <v>0</v>
      </c>
      <c r="P30" s="345"/>
      <c r="Q30" s="345"/>
      <c r="R30" s="345"/>
    </row>
    <row r="31" spans="1:18" s="67" customFormat="1" ht="18" customHeight="1" x14ac:dyDescent="0.2">
      <c r="A31" s="325">
        <f t="shared" si="2"/>
        <v>245</v>
      </c>
      <c r="B31" s="878"/>
      <c r="C31" s="326">
        <v>1</v>
      </c>
      <c r="D31" s="327">
        <f>LOOKUP(C31,Cities!A$3:A$343,Cities!B$3:B$343)</f>
        <v>0</v>
      </c>
      <c r="E31" s="332">
        <v>0</v>
      </c>
      <c r="F31" s="332">
        <v>0</v>
      </c>
      <c r="G31" s="331">
        <f t="shared" si="0"/>
        <v>0</v>
      </c>
      <c r="H31" s="914" t="str">
        <f t="shared" si="1"/>
        <v>n/a</v>
      </c>
      <c r="I31" s="332">
        <v>0</v>
      </c>
      <c r="J31" s="914" t="str">
        <f>IF(Overflow!K$6&gt;0,ROUND(I31/Overflow!K$6,6),"n/a")</f>
        <v>n/a</v>
      </c>
      <c r="K31" s="332">
        <v>0</v>
      </c>
      <c r="L31" s="914" t="str">
        <f>IF(Overflow!K$8&gt;0,ROUND(K31/Overflow!K$8,6),"n/a")</f>
        <v>n/a</v>
      </c>
      <c r="M31" s="330">
        <f>IF(Overflow!G$8+Overflow!K$6+Overflow!K$8=0,0,ROUND((IF(H31="n/a",0,H31)+IF(J31="n/a",0,J31)+IF(L31="n/a",0,L31))/N$9,6))</f>
        <v>0</v>
      </c>
      <c r="O31" s="785">
        <f>LOOKUP(C31,Cities!A$3:A$343,Cities!AA$3:AA$343)</f>
        <v>0</v>
      </c>
      <c r="P31" s="345"/>
      <c r="Q31" s="345"/>
      <c r="R31" s="345"/>
    </row>
    <row r="32" spans="1:18" s="67" customFormat="1" ht="18" customHeight="1" x14ac:dyDescent="0.2">
      <c r="A32" s="325">
        <f t="shared" si="2"/>
        <v>246</v>
      </c>
      <c r="B32" s="878"/>
      <c r="C32" s="326">
        <v>1</v>
      </c>
      <c r="D32" s="327">
        <f>LOOKUP(C32,Cities!A$3:A$343,Cities!B$3:B$343)</f>
        <v>0</v>
      </c>
      <c r="E32" s="332">
        <v>0</v>
      </c>
      <c r="F32" s="332">
        <v>0</v>
      </c>
      <c r="G32" s="331">
        <f t="shared" si="0"/>
        <v>0</v>
      </c>
      <c r="H32" s="914" t="str">
        <f t="shared" si="1"/>
        <v>n/a</v>
      </c>
      <c r="I32" s="332">
        <v>0</v>
      </c>
      <c r="J32" s="914" t="str">
        <f>IF(Overflow!K$6&gt;0,ROUND(I32/Overflow!K$6,6),"n/a")</f>
        <v>n/a</v>
      </c>
      <c r="K32" s="332">
        <v>0</v>
      </c>
      <c r="L32" s="914" t="str">
        <f>IF(Overflow!K$8&gt;0,ROUND(K32/Overflow!K$8,6),"n/a")</f>
        <v>n/a</v>
      </c>
      <c r="M32" s="330">
        <f>IF(Overflow!G$8+Overflow!K$6+Overflow!K$8=0,0,ROUND((IF(H32="n/a",0,H32)+IF(J32="n/a",0,J32)+IF(L32="n/a",0,L32))/N$9,6))</f>
        <v>0</v>
      </c>
      <c r="O32" s="785">
        <f>LOOKUP(C32,Cities!A$3:A$343,Cities!AA$3:AA$343)</f>
        <v>0</v>
      </c>
      <c r="P32" s="345"/>
      <c r="Q32" s="345"/>
      <c r="R32" s="345"/>
    </row>
    <row r="33" spans="1:18" s="67" customFormat="1" ht="18" customHeight="1" x14ac:dyDescent="0.2">
      <c r="A33" s="325">
        <f t="shared" si="2"/>
        <v>247</v>
      </c>
      <c r="B33" s="878"/>
      <c r="C33" s="326">
        <v>1</v>
      </c>
      <c r="D33" s="327">
        <f>LOOKUP(C33,Cities!A$3:A$343,Cities!B$3:B$343)</f>
        <v>0</v>
      </c>
      <c r="E33" s="332">
        <v>0</v>
      </c>
      <c r="F33" s="332">
        <v>0</v>
      </c>
      <c r="G33" s="331">
        <f t="shared" si="0"/>
        <v>0</v>
      </c>
      <c r="H33" s="914" t="str">
        <f t="shared" si="1"/>
        <v>n/a</v>
      </c>
      <c r="I33" s="332">
        <v>0</v>
      </c>
      <c r="J33" s="914" t="str">
        <f>IF(Overflow!K$6&gt;0,ROUND(I33/Overflow!K$6,6),"n/a")</f>
        <v>n/a</v>
      </c>
      <c r="K33" s="332">
        <v>0</v>
      </c>
      <c r="L33" s="914" t="str">
        <f>IF(Overflow!K$8&gt;0,ROUND(K33/Overflow!K$8,6),"n/a")</f>
        <v>n/a</v>
      </c>
      <c r="M33" s="330">
        <f>IF(Overflow!G$8+Overflow!K$6+Overflow!K$8=0,0,ROUND((IF(H33="n/a",0,H33)+IF(J33="n/a",0,J33)+IF(L33="n/a",0,L33))/N$9,6))</f>
        <v>0</v>
      </c>
      <c r="O33" s="785">
        <f>LOOKUP(C33,Cities!A$3:A$343,Cities!AA$3:AA$343)</f>
        <v>0</v>
      </c>
      <c r="P33" s="345"/>
      <c r="Q33" s="345"/>
      <c r="R33" s="345"/>
    </row>
    <row r="34" spans="1:18" s="67" customFormat="1" ht="18" customHeight="1" x14ac:dyDescent="0.2">
      <c r="A34" s="325">
        <f t="shared" si="2"/>
        <v>248</v>
      </c>
      <c r="B34" s="878"/>
      <c r="C34" s="326">
        <v>1</v>
      </c>
      <c r="D34" s="327">
        <f>LOOKUP(C34,Cities!A$3:A$343,Cities!B$3:B$343)</f>
        <v>0</v>
      </c>
      <c r="E34" s="332">
        <v>0</v>
      </c>
      <c r="F34" s="332">
        <v>0</v>
      </c>
      <c r="G34" s="331">
        <f t="shared" si="0"/>
        <v>0</v>
      </c>
      <c r="H34" s="914" t="str">
        <f t="shared" si="1"/>
        <v>n/a</v>
      </c>
      <c r="I34" s="332">
        <v>0</v>
      </c>
      <c r="J34" s="914" t="str">
        <f>IF(Overflow!K$6&gt;0,ROUND(I34/Overflow!K$6,6),"n/a")</f>
        <v>n/a</v>
      </c>
      <c r="K34" s="332">
        <v>0</v>
      </c>
      <c r="L34" s="914" t="str">
        <f>IF(Overflow!K$8&gt;0,ROUND(K34/Overflow!K$8,6),"n/a")</f>
        <v>n/a</v>
      </c>
      <c r="M34" s="330">
        <f>IF(Overflow!G$8+Overflow!K$6+Overflow!K$8=0,0,ROUND((IF(H34="n/a",0,H34)+IF(J34="n/a",0,J34)+IF(L34="n/a",0,L34))/N$9,6))</f>
        <v>0</v>
      </c>
      <c r="O34" s="785">
        <f>LOOKUP(C34,Cities!A$3:A$343,Cities!AA$3:AA$343)</f>
        <v>0</v>
      </c>
      <c r="P34" s="345"/>
      <c r="Q34" s="345"/>
      <c r="R34" s="345"/>
    </row>
    <row r="35" spans="1:18" s="67" customFormat="1" ht="18" customHeight="1" x14ac:dyDescent="0.2">
      <c r="A35" s="325">
        <f t="shared" si="2"/>
        <v>249</v>
      </c>
      <c r="B35" s="878"/>
      <c r="C35" s="326">
        <v>1</v>
      </c>
      <c r="D35" s="327">
        <f>LOOKUP(C35,Cities!A$3:A$343,Cities!B$3:B$343)</f>
        <v>0</v>
      </c>
      <c r="E35" s="332">
        <v>0</v>
      </c>
      <c r="F35" s="332">
        <v>0</v>
      </c>
      <c r="G35" s="331">
        <f t="shared" si="0"/>
        <v>0</v>
      </c>
      <c r="H35" s="914" t="str">
        <f t="shared" si="1"/>
        <v>n/a</v>
      </c>
      <c r="I35" s="332">
        <v>0</v>
      </c>
      <c r="J35" s="914" t="str">
        <f>IF(Overflow!K$6&gt;0,ROUND(I35/Overflow!K$6,6),"n/a")</f>
        <v>n/a</v>
      </c>
      <c r="K35" s="332">
        <v>0</v>
      </c>
      <c r="L35" s="914" t="str">
        <f>IF(Overflow!K$8&gt;0,ROUND(K35/Overflow!K$8,6),"n/a")</f>
        <v>n/a</v>
      </c>
      <c r="M35" s="330">
        <f>IF(Overflow!G$8+Overflow!K$6+Overflow!K$8=0,0,ROUND((IF(H35="n/a",0,H35)+IF(J35="n/a",0,J35)+IF(L35="n/a",0,L35))/N$9,6))</f>
        <v>0</v>
      </c>
      <c r="O35" s="785">
        <f>LOOKUP(C35,Cities!A$3:A$343,Cities!AA$3:AA$343)</f>
        <v>0</v>
      </c>
      <c r="P35" s="345"/>
      <c r="Q35" s="345"/>
      <c r="R35" s="345"/>
    </row>
    <row r="36" spans="1:18" s="67" customFormat="1" ht="18" customHeight="1" x14ac:dyDescent="0.2">
      <c r="A36" s="325">
        <f t="shared" si="2"/>
        <v>250</v>
      </c>
      <c r="B36" s="878"/>
      <c r="C36" s="326">
        <v>1</v>
      </c>
      <c r="D36" s="327">
        <f>LOOKUP(C36,Cities!A$3:A$343,Cities!B$3:B$343)</f>
        <v>0</v>
      </c>
      <c r="E36" s="332">
        <v>0</v>
      </c>
      <c r="F36" s="332">
        <v>0</v>
      </c>
      <c r="G36" s="331">
        <f t="shared" si="0"/>
        <v>0</v>
      </c>
      <c r="H36" s="914" t="str">
        <f t="shared" si="1"/>
        <v>n/a</v>
      </c>
      <c r="I36" s="332">
        <v>0</v>
      </c>
      <c r="J36" s="914" t="str">
        <f>IF(Overflow!K$6&gt;0,ROUND(I36/Overflow!K$6,6),"n/a")</f>
        <v>n/a</v>
      </c>
      <c r="K36" s="332">
        <v>0</v>
      </c>
      <c r="L36" s="914" t="str">
        <f>IF(Overflow!K$8&gt;0,ROUND(K36/Overflow!K$8,6),"n/a")</f>
        <v>n/a</v>
      </c>
      <c r="M36" s="330">
        <f>IF(Overflow!G$8+Overflow!K$6+Overflow!K$8=0,0,ROUND((IF(H36="n/a",0,H36)+IF(J36="n/a",0,J36)+IF(L36="n/a",0,L36))/N$9,6))</f>
        <v>0</v>
      </c>
      <c r="O36" s="785">
        <f>LOOKUP(C36,Cities!A$3:A$343,Cities!AA$3:AA$343)</f>
        <v>0</v>
      </c>
      <c r="P36" s="345"/>
      <c r="Q36" s="345"/>
      <c r="R36" s="345"/>
    </row>
    <row r="37" spans="1:18" s="67" customFormat="1" ht="18" customHeight="1" x14ac:dyDescent="0.2">
      <c r="A37" s="325">
        <f t="shared" si="2"/>
        <v>251</v>
      </c>
      <c r="B37" s="878"/>
      <c r="C37" s="326">
        <v>1</v>
      </c>
      <c r="D37" s="327">
        <f>LOOKUP(C37,Cities!A$3:A$343,Cities!B$3:B$343)</f>
        <v>0</v>
      </c>
      <c r="E37" s="332">
        <v>0</v>
      </c>
      <c r="F37" s="332">
        <v>0</v>
      </c>
      <c r="G37" s="331">
        <f t="shared" si="0"/>
        <v>0</v>
      </c>
      <c r="H37" s="914" t="str">
        <f t="shared" si="1"/>
        <v>n/a</v>
      </c>
      <c r="I37" s="332">
        <v>0</v>
      </c>
      <c r="J37" s="914" t="str">
        <f>IF(Overflow!K$6&gt;0,ROUND(I37/Overflow!K$6,6),"n/a")</f>
        <v>n/a</v>
      </c>
      <c r="K37" s="332">
        <v>0</v>
      </c>
      <c r="L37" s="914" t="str">
        <f>IF(Overflow!K$8&gt;0,ROUND(K37/Overflow!K$8,6),"n/a")</f>
        <v>n/a</v>
      </c>
      <c r="M37" s="330">
        <f>IF(Overflow!G$8+Overflow!K$6+Overflow!K$8=0,0,ROUND((IF(H37="n/a",0,H37)+IF(J37="n/a",0,J37)+IF(L37="n/a",0,L37))/N$9,6))</f>
        <v>0</v>
      </c>
      <c r="O37" s="785">
        <f>LOOKUP(C37,Cities!A$3:A$343,Cities!AA$3:AA$343)</f>
        <v>0</v>
      </c>
      <c r="P37" s="345"/>
      <c r="Q37" s="345"/>
      <c r="R37" s="345"/>
    </row>
    <row r="38" spans="1:18" s="67" customFormat="1" ht="18" customHeight="1" x14ac:dyDescent="0.2">
      <c r="A38" s="325">
        <f t="shared" si="2"/>
        <v>252</v>
      </c>
      <c r="B38" s="878"/>
      <c r="C38" s="326">
        <v>1</v>
      </c>
      <c r="D38" s="327">
        <f>LOOKUP(C38,Cities!A$3:A$343,Cities!B$3:B$343)</f>
        <v>0</v>
      </c>
      <c r="E38" s="332">
        <v>0</v>
      </c>
      <c r="F38" s="332">
        <v>0</v>
      </c>
      <c r="G38" s="331">
        <f t="shared" si="0"/>
        <v>0</v>
      </c>
      <c r="H38" s="914" t="str">
        <f t="shared" si="1"/>
        <v>n/a</v>
      </c>
      <c r="I38" s="332">
        <v>0</v>
      </c>
      <c r="J38" s="914" t="str">
        <f>IF(Overflow!K$6&gt;0,ROUND(I38/Overflow!K$6,6),"n/a")</f>
        <v>n/a</v>
      </c>
      <c r="K38" s="332">
        <v>0</v>
      </c>
      <c r="L38" s="914" t="str">
        <f>IF(Overflow!K$8&gt;0,ROUND(K38/Overflow!K$8,6),"n/a")</f>
        <v>n/a</v>
      </c>
      <c r="M38" s="330">
        <f>IF(Overflow!G$8+Overflow!K$6+Overflow!K$8=0,0,ROUND((IF(H38="n/a",0,H38)+IF(J38="n/a",0,J38)+IF(L38="n/a",0,L38))/N$9,6))</f>
        <v>0</v>
      </c>
      <c r="O38" s="785">
        <f>LOOKUP(C38,Cities!A$3:A$343,Cities!AA$3:AA$343)</f>
        <v>0</v>
      </c>
      <c r="P38" s="345"/>
      <c r="Q38" s="345"/>
      <c r="R38" s="345"/>
    </row>
    <row r="39" spans="1:18" s="67" customFormat="1" ht="18" customHeight="1" x14ac:dyDescent="0.2">
      <c r="A39" s="325">
        <f t="shared" si="2"/>
        <v>253</v>
      </c>
      <c r="B39" s="878"/>
      <c r="C39" s="326">
        <v>1</v>
      </c>
      <c r="D39" s="327">
        <f>LOOKUP(C39,Cities!A$3:A$343,Cities!B$3:B$343)</f>
        <v>0</v>
      </c>
      <c r="E39" s="332">
        <v>0</v>
      </c>
      <c r="F39" s="332">
        <v>0</v>
      </c>
      <c r="G39" s="331">
        <f t="shared" si="0"/>
        <v>0</v>
      </c>
      <c r="H39" s="914" t="str">
        <f t="shared" si="1"/>
        <v>n/a</v>
      </c>
      <c r="I39" s="332">
        <v>0</v>
      </c>
      <c r="J39" s="914" t="str">
        <f>IF(Overflow!K$6&gt;0,ROUND(I39/Overflow!K$6,6),"n/a")</f>
        <v>n/a</v>
      </c>
      <c r="K39" s="332">
        <v>0</v>
      </c>
      <c r="L39" s="914" t="str">
        <f>IF(Overflow!K$8&gt;0,ROUND(K39/Overflow!K$8,6),"n/a")</f>
        <v>n/a</v>
      </c>
      <c r="M39" s="330">
        <f>IF(Overflow!G$8+Overflow!K$6+Overflow!K$8=0,0,ROUND((IF(H39="n/a",0,H39)+IF(J39="n/a",0,J39)+IF(L39="n/a",0,L39))/N$9,6))</f>
        <v>0</v>
      </c>
      <c r="O39" s="785">
        <f>LOOKUP(C39,Cities!A$3:A$343,Cities!AA$3:AA$343)</f>
        <v>0</v>
      </c>
      <c r="P39" s="345"/>
      <c r="Q39" s="345"/>
      <c r="R39" s="345"/>
    </row>
    <row r="40" spans="1:18" s="67" customFormat="1" ht="18" customHeight="1" x14ac:dyDescent="0.2">
      <c r="A40" s="325">
        <f t="shared" si="2"/>
        <v>254</v>
      </c>
      <c r="B40" s="878"/>
      <c r="C40" s="326">
        <v>1</v>
      </c>
      <c r="D40" s="327">
        <f>LOOKUP(C40,Cities!A$3:A$343,Cities!B$3:B$343)</f>
        <v>0</v>
      </c>
      <c r="E40" s="332">
        <v>0</v>
      </c>
      <c r="F40" s="332">
        <v>0</v>
      </c>
      <c r="G40" s="331">
        <f t="shared" si="0"/>
        <v>0</v>
      </c>
      <c r="H40" s="914" t="str">
        <f t="shared" si="1"/>
        <v>n/a</v>
      </c>
      <c r="I40" s="332">
        <v>0</v>
      </c>
      <c r="J40" s="914" t="str">
        <f>IF(Overflow!K$6&gt;0,ROUND(I40/Overflow!K$6,6),"n/a")</f>
        <v>n/a</v>
      </c>
      <c r="K40" s="332">
        <v>0</v>
      </c>
      <c r="L40" s="914" t="str">
        <f>IF(Overflow!K$8&gt;0,ROUND(K40/Overflow!K$8,6),"n/a")</f>
        <v>n/a</v>
      </c>
      <c r="M40" s="330">
        <f>IF(Overflow!G$8+Overflow!K$6+Overflow!K$8=0,0,ROUND((IF(H40="n/a",0,H40)+IF(J40="n/a",0,J40)+IF(L40="n/a",0,L40))/N$9,6))</f>
        <v>0</v>
      </c>
      <c r="O40" s="785">
        <f>LOOKUP(C40,Cities!A$3:A$343,Cities!AA$3:AA$343)</f>
        <v>0</v>
      </c>
      <c r="P40" s="345"/>
      <c r="Q40" s="345"/>
      <c r="R40" s="345"/>
    </row>
    <row r="41" spans="1:18" s="67" customFormat="1" ht="18" customHeight="1" x14ac:dyDescent="0.2">
      <c r="A41" s="325">
        <f t="shared" si="2"/>
        <v>255</v>
      </c>
      <c r="B41" s="878"/>
      <c r="C41" s="326">
        <v>1</v>
      </c>
      <c r="D41" s="327">
        <f>LOOKUP(C41,Cities!A$3:A$343,Cities!B$3:B$343)</f>
        <v>0</v>
      </c>
      <c r="E41" s="332">
        <v>0</v>
      </c>
      <c r="F41" s="332">
        <v>0</v>
      </c>
      <c r="G41" s="331">
        <f t="shared" si="0"/>
        <v>0</v>
      </c>
      <c r="H41" s="914" t="str">
        <f t="shared" si="1"/>
        <v>n/a</v>
      </c>
      <c r="I41" s="332">
        <v>0</v>
      </c>
      <c r="J41" s="914" t="str">
        <f>IF(Overflow!K$6&gt;0,ROUND(I41/Overflow!K$6,6),"n/a")</f>
        <v>n/a</v>
      </c>
      <c r="K41" s="332">
        <v>0</v>
      </c>
      <c r="L41" s="914" t="str">
        <f>IF(Overflow!K$8&gt;0,ROUND(K41/Overflow!K$8,6),"n/a")</f>
        <v>n/a</v>
      </c>
      <c r="M41" s="330">
        <f>IF(Overflow!G$8+Overflow!K$6+Overflow!K$8=0,0,ROUND((IF(H41="n/a",0,H41)+IF(J41="n/a",0,J41)+IF(L41="n/a",0,L41))/N$9,6))</f>
        <v>0</v>
      </c>
      <c r="O41" s="785">
        <f>LOOKUP(C41,Cities!A$3:A$343,Cities!AA$3:AA$343)</f>
        <v>0</v>
      </c>
      <c r="P41" s="345"/>
      <c r="Q41" s="345"/>
      <c r="R41" s="345"/>
    </row>
    <row r="42" spans="1:18" s="67" customFormat="1" ht="18" customHeight="1" x14ac:dyDescent="0.2">
      <c r="A42" s="325">
        <f t="shared" si="2"/>
        <v>256</v>
      </c>
      <c r="B42" s="878"/>
      <c r="C42" s="326">
        <v>1</v>
      </c>
      <c r="D42" s="327">
        <f>LOOKUP(C42,Cities!A$3:A$343,Cities!B$3:B$343)</f>
        <v>0</v>
      </c>
      <c r="E42" s="332">
        <v>0</v>
      </c>
      <c r="F42" s="332">
        <v>0</v>
      </c>
      <c r="G42" s="331">
        <f t="shared" si="0"/>
        <v>0</v>
      </c>
      <c r="H42" s="914" t="str">
        <f t="shared" si="1"/>
        <v>n/a</v>
      </c>
      <c r="I42" s="332">
        <v>0</v>
      </c>
      <c r="J42" s="914" t="str">
        <f>IF(Overflow!K$6&gt;0,ROUND(I42/Overflow!K$6,6),"n/a")</f>
        <v>n/a</v>
      </c>
      <c r="K42" s="332">
        <v>0</v>
      </c>
      <c r="L42" s="914" t="str">
        <f>IF(Overflow!K$8&gt;0,ROUND(K42/Overflow!K$8,6),"n/a")</f>
        <v>n/a</v>
      </c>
      <c r="M42" s="330">
        <f>IF(Overflow!G$8+Overflow!K$6+Overflow!K$8=0,0,ROUND((IF(H42="n/a",0,H42)+IF(J42="n/a",0,J42)+IF(L42="n/a",0,L42))/N$9,6))</f>
        <v>0</v>
      </c>
      <c r="O42" s="785">
        <f>LOOKUP(C42,Cities!A$3:A$343,Cities!AA$3:AA$343)</f>
        <v>0</v>
      </c>
      <c r="P42" s="345"/>
      <c r="Q42" s="345"/>
      <c r="R42" s="345"/>
    </row>
    <row r="43" spans="1:18" s="67" customFormat="1" ht="18" customHeight="1" x14ac:dyDescent="0.2">
      <c r="A43" s="325">
        <f t="shared" si="2"/>
        <v>257</v>
      </c>
      <c r="B43" s="878"/>
      <c r="C43" s="326">
        <v>1</v>
      </c>
      <c r="D43" s="327">
        <f>LOOKUP(C43,Cities!A$3:A$343,Cities!B$3:B$343)</f>
        <v>0</v>
      </c>
      <c r="E43" s="332">
        <v>0</v>
      </c>
      <c r="F43" s="332">
        <v>0</v>
      </c>
      <c r="G43" s="331">
        <f t="shared" si="0"/>
        <v>0</v>
      </c>
      <c r="H43" s="914" t="str">
        <f t="shared" si="1"/>
        <v>n/a</v>
      </c>
      <c r="I43" s="332">
        <v>0</v>
      </c>
      <c r="J43" s="914" t="str">
        <f>IF(Overflow!K$6&gt;0,ROUND(I43/Overflow!K$6,6),"n/a")</f>
        <v>n/a</v>
      </c>
      <c r="K43" s="332">
        <v>0</v>
      </c>
      <c r="L43" s="914" t="str">
        <f>IF(Overflow!K$8&gt;0,ROUND(K43/Overflow!K$8,6),"n/a")</f>
        <v>n/a</v>
      </c>
      <c r="M43" s="330">
        <f>IF(Overflow!G$8+Overflow!K$6+Overflow!K$8=0,0,ROUND((IF(H43="n/a",0,H43)+IF(J43="n/a",0,J43)+IF(L43="n/a",0,L43))/N$9,6))</f>
        <v>0</v>
      </c>
      <c r="O43" s="785">
        <f>LOOKUP(C43,Cities!A$3:A$343,Cities!AA$3:AA$343)</f>
        <v>0</v>
      </c>
      <c r="P43" s="345"/>
      <c r="Q43" s="345"/>
      <c r="R43" s="345"/>
    </row>
    <row r="44" spans="1:18" s="67" customFormat="1" ht="18" customHeight="1" x14ac:dyDescent="0.2">
      <c r="A44" s="325">
        <f t="shared" si="2"/>
        <v>258</v>
      </c>
      <c r="B44" s="878"/>
      <c r="C44" s="326">
        <v>1</v>
      </c>
      <c r="D44" s="327">
        <f>LOOKUP(C44,Cities!A$3:A$343,Cities!B$3:B$343)</f>
        <v>0</v>
      </c>
      <c r="E44" s="332">
        <v>0</v>
      </c>
      <c r="F44" s="332">
        <v>0</v>
      </c>
      <c r="G44" s="331">
        <f t="shared" si="0"/>
        <v>0</v>
      </c>
      <c r="H44" s="914" t="str">
        <f t="shared" si="1"/>
        <v>n/a</v>
      </c>
      <c r="I44" s="332">
        <v>0</v>
      </c>
      <c r="J44" s="914" t="str">
        <f>IF(Overflow!K$6&gt;0,ROUND(I44/Overflow!K$6,6),"n/a")</f>
        <v>n/a</v>
      </c>
      <c r="K44" s="332">
        <v>0</v>
      </c>
      <c r="L44" s="914" t="str">
        <f>IF(Overflow!K$8&gt;0,ROUND(K44/Overflow!K$8,6),"n/a")</f>
        <v>n/a</v>
      </c>
      <c r="M44" s="330">
        <f>IF(Overflow!G$8+Overflow!K$6+Overflow!K$8=0,0,ROUND((IF(H44="n/a",0,H44)+IF(J44="n/a",0,J44)+IF(L44="n/a",0,L44))/N$9,6))</f>
        <v>0</v>
      </c>
      <c r="O44" s="785">
        <f>LOOKUP(C44,Cities!A$3:A$343,Cities!AA$3:AA$343)</f>
        <v>0</v>
      </c>
      <c r="P44" s="345"/>
      <c r="Q44" s="345"/>
      <c r="R44" s="345"/>
    </row>
    <row r="45" spans="1:18" s="67" customFormat="1" ht="18" customHeight="1" x14ac:dyDescent="0.2">
      <c r="A45" s="325">
        <f t="shared" si="2"/>
        <v>259</v>
      </c>
      <c r="B45" s="878"/>
      <c r="C45" s="326">
        <v>1</v>
      </c>
      <c r="D45" s="327">
        <f>LOOKUP(C45,Cities!A$3:A$343,Cities!B$3:B$343)</f>
        <v>0</v>
      </c>
      <c r="E45" s="332">
        <v>0</v>
      </c>
      <c r="F45" s="332">
        <v>0</v>
      </c>
      <c r="G45" s="331">
        <f t="shared" si="0"/>
        <v>0</v>
      </c>
      <c r="H45" s="914" t="str">
        <f t="shared" si="1"/>
        <v>n/a</v>
      </c>
      <c r="I45" s="332">
        <v>0</v>
      </c>
      <c r="J45" s="914" t="str">
        <f>IF(Overflow!K$6&gt;0,ROUND(I45/Overflow!K$6,6),"n/a")</f>
        <v>n/a</v>
      </c>
      <c r="K45" s="332">
        <v>0</v>
      </c>
      <c r="L45" s="914" t="str">
        <f>IF(Overflow!K$8&gt;0,ROUND(K45/Overflow!K$8,6),"n/a")</f>
        <v>n/a</v>
      </c>
      <c r="M45" s="330">
        <f>IF(Overflow!G$8+Overflow!K$6+Overflow!K$8=0,0,ROUND((IF(H45="n/a",0,H45)+IF(J45="n/a",0,J45)+IF(L45="n/a",0,L45))/N$9,6))</f>
        <v>0</v>
      </c>
      <c r="O45" s="785">
        <f>LOOKUP(C45,Cities!A$3:A$343,Cities!AA$3:AA$343)</f>
        <v>0</v>
      </c>
      <c r="P45" s="345"/>
      <c r="Q45" s="345"/>
      <c r="R45" s="345"/>
    </row>
    <row r="46" spans="1:18" s="67" customFormat="1" ht="18" customHeight="1" x14ac:dyDescent="0.2">
      <c r="A46" s="325">
        <f t="shared" si="2"/>
        <v>260</v>
      </c>
      <c r="B46" s="878"/>
      <c r="C46" s="326">
        <v>1</v>
      </c>
      <c r="D46" s="327">
        <f>LOOKUP(C46,Cities!A$3:A$343,Cities!B$3:B$343)</f>
        <v>0</v>
      </c>
      <c r="E46" s="332">
        <v>0</v>
      </c>
      <c r="F46" s="332">
        <v>0</v>
      </c>
      <c r="G46" s="331">
        <f t="shared" si="0"/>
        <v>0</v>
      </c>
      <c r="H46" s="914" t="str">
        <f t="shared" si="1"/>
        <v>n/a</v>
      </c>
      <c r="I46" s="332">
        <v>0</v>
      </c>
      <c r="J46" s="914" t="str">
        <f>IF(Overflow!K$6&gt;0,ROUND(I46/Overflow!K$6,6),"n/a")</f>
        <v>n/a</v>
      </c>
      <c r="K46" s="332">
        <v>0</v>
      </c>
      <c r="L46" s="914" t="str">
        <f>IF(Overflow!K$8&gt;0,ROUND(K46/Overflow!K$8,6),"n/a")</f>
        <v>n/a</v>
      </c>
      <c r="M46" s="330">
        <f>IF(Overflow!G$8+Overflow!K$6+Overflow!K$8=0,0,ROUND((IF(H46="n/a",0,H46)+IF(J46="n/a",0,J46)+IF(L46="n/a",0,L46))/N$9,6))</f>
        <v>0</v>
      </c>
      <c r="O46" s="785">
        <f>LOOKUP(C46,Cities!A$3:A$343,Cities!AA$3:AA$343)</f>
        <v>0</v>
      </c>
      <c r="P46" s="345"/>
      <c r="Q46" s="345"/>
      <c r="R46" s="345"/>
    </row>
    <row r="47" spans="1:18" s="67" customFormat="1" ht="18" customHeight="1" x14ac:dyDescent="0.2">
      <c r="A47" s="325">
        <f t="shared" si="2"/>
        <v>261</v>
      </c>
      <c r="B47" s="878"/>
      <c r="C47" s="326">
        <v>1</v>
      </c>
      <c r="D47" s="327">
        <f>LOOKUP(C47,Cities!A$3:A$343,Cities!B$3:B$343)</f>
        <v>0</v>
      </c>
      <c r="E47" s="332">
        <v>0</v>
      </c>
      <c r="F47" s="332">
        <v>0</v>
      </c>
      <c r="G47" s="331">
        <f t="shared" si="0"/>
        <v>0</v>
      </c>
      <c r="H47" s="914" t="str">
        <f t="shared" si="1"/>
        <v>n/a</v>
      </c>
      <c r="I47" s="332">
        <v>0</v>
      </c>
      <c r="J47" s="914" t="str">
        <f>IF(Overflow!K$6&gt;0,ROUND(I47/Overflow!K$6,6),"n/a")</f>
        <v>n/a</v>
      </c>
      <c r="K47" s="332">
        <v>0</v>
      </c>
      <c r="L47" s="914" t="str">
        <f>IF(Overflow!K$8&gt;0,ROUND(K47/Overflow!K$8,6),"n/a")</f>
        <v>n/a</v>
      </c>
      <c r="M47" s="330">
        <f>IF(Overflow!G$8+Overflow!K$6+Overflow!K$8=0,0,ROUND((IF(H47="n/a",0,H47)+IF(J47="n/a",0,J47)+IF(L47="n/a",0,L47))/N$9,6))</f>
        <v>0</v>
      </c>
      <c r="O47" s="785">
        <f>LOOKUP(C47,Cities!A$3:A$343,Cities!AA$3:AA$343)</f>
        <v>0</v>
      </c>
      <c r="P47" s="345"/>
      <c r="Q47" s="345"/>
      <c r="R47" s="345"/>
    </row>
    <row r="48" spans="1:18" s="67" customFormat="1" ht="18" customHeight="1" x14ac:dyDescent="0.2">
      <c r="A48" s="325">
        <f t="shared" si="2"/>
        <v>262</v>
      </c>
      <c r="B48" s="878"/>
      <c r="C48" s="326">
        <v>1</v>
      </c>
      <c r="D48" s="327">
        <f>LOOKUP(C48,Cities!A$3:A$343,Cities!B$3:B$343)</f>
        <v>0</v>
      </c>
      <c r="E48" s="332">
        <v>0</v>
      </c>
      <c r="F48" s="332">
        <v>0</v>
      </c>
      <c r="G48" s="331">
        <f t="shared" si="0"/>
        <v>0</v>
      </c>
      <c r="H48" s="914" t="str">
        <f t="shared" si="1"/>
        <v>n/a</v>
      </c>
      <c r="I48" s="332">
        <v>0</v>
      </c>
      <c r="J48" s="914" t="str">
        <f>IF(Overflow!K$6&gt;0,ROUND(I48/Overflow!K$6,6),"n/a")</f>
        <v>n/a</v>
      </c>
      <c r="K48" s="332">
        <v>0</v>
      </c>
      <c r="L48" s="914" t="str">
        <f>IF(Overflow!K$8&gt;0,ROUND(K48/Overflow!K$8,6),"n/a")</f>
        <v>n/a</v>
      </c>
      <c r="M48" s="330">
        <f>IF(Overflow!G$8+Overflow!K$6+Overflow!K$8=0,0,ROUND((IF(H48="n/a",0,H48)+IF(J48="n/a",0,J48)+IF(L48="n/a",0,L48))/N$9,6))</f>
        <v>0</v>
      </c>
      <c r="O48" s="785">
        <f>LOOKUP(C48,Cities!A$3:A$343,Cities!AA$3:AA$343)</f>
        <v>0</v>
      </c>
      <c r="P48" s="345"/>
      <c r="Q48" s="345"/>
      <c r="R48" s="345"/>
    </row>
    <row r="49" spans="1:18" s="67" customFormat="1" ht="18" customHeight="1" x14ac:dyDescent="0.2">
      <c r="A49" s="325">
        <f t="shared" si="2"/>
        <v>263</v>
      </c>
      <c r="B49" s="878"/>
      <c r="C49" s="326">
        <v>1</v>
      </c>
      <c r="D49" s="327">
        <f>LOOKUP(C49,Cities!A$3:A$343,Cities!B$3:B$343)</f>
        <v>0</v>
      </c>
      <c r="E49" s="332">
        <v>0</v>
      </c>
      <c r="F49" s="332">
        <v>0</v>
      </c>
      <c r="G49" s="331">
        <f t="shared" si="0"/>
        <v>0</v>
      </c>
      <c r="H49" s="914" t="str">
        <f t="shared" si="1"/>
        <v>n/a</v>
      </c>
      <c r="I49" s="332">
        <v>0</v>
      </c>
      <c r="J49" s="914" t="str">
        <f>IF(Overflow!K$6&gt;0,ROUND(I49/Overflow!K$6,6),"n/a")</f>
        <v>n/a</v>
      </c>
      <c r="K49" s="332">
        <v>0</v>
      </c>
      <c r="L49" s="914" t="str">
        <f>IF(Overflow!K$8&gt;0,ROUND(K49/Overflow!K$8,6),"n/a")</f>
        <v>n/a</v>
      </c>
      <c r="M49" s="330">
        <f>IF(Overflow!G$8+Overflow!K$6+Overflow!K$8=0,0,ROUND((IF(H49="n/a",0,H49)+IF(J49="n/a",0,J49)+IF(L49="n/a",0,L49))/N$9,6))</f>
        <v>0</v>
      </c>
      <c r="O49" s="785">
        <f>LOOKUP(C49,Cities!A$3:A$343,Cities!AA$3:AA$343)</f>
        <v>0</v>
      </c>
      <c r="P49" s="345"/>
      <c r="Q49" s="345"/>
      <c r="R49" s="345"/>
    </row>
    <row r="50" spans="1:18" s="67" customFormat="1" ht="18" customHeight="1" x14ac:dyDescent="0.2">
      <c r="A50" s="325">
        <f t="shared" si="2"/>
        <v>264</v>
      </c>
      <c r="B50" s="878"/>
      <c r="C50" s="326">
        <v>1</v>
      </c>
      <c r="D50" s="327">
        <f>LOOKUP(C50,Cities!A$3:A$343,Cities!B$3:B$343)</f>
        <v>0</v>
      </c>
      <c r="E50" s="332">
        <v>0</v>
      </c>
      <c r="F50" s="332">
        <v>0</v>
      </c>
      <c r="G50" s="331">
        <f t="shared" si="0"/>
        <v>0</v>
      </c>
      <c r="H50" s="914" t="str">
        <f t="shared" si="1"/>
        <v>n/a</v>
      </c>
      <c r="I50" s="332">
        <v>0</v>
      </c>
      <c r="J50" s="914" t="str">
        <f>IF(Overflow!K$6&gt;0,ROUND(I50/Overflow!K$6,6),"n/a")</f>
        <v>n/a</v>
      </c>
      <c r="K50" s="332">
        <v>0</v>
      </c>
      <c r="L50" s="914" t="str">
        <f>IF(Overflow!K$8&gt;0,ROUND(K50/Overflow!K$8,6),"n/a")</f>
        <v>n/a</v>
      </c>
      <c r="M50" s="330">
        <f>IF(Overflow!G$8+Overflow!K$6+Overflow!K$8=0,0,ROUND((IF(H50="n/a",0,H50)+IF(J50="n/a",0,J50)+IF(L50="n/a",0,L50))/N$9,6))</f>
        <v>0</v>
      </c>
      <c r="O50" s="785">
        <f>LOOKUP(C50,Cities!A$3:A$343,Cities!AA$3:AA$343)</f>
        <v>0</v>
      </c>
      <c r="P50" s="345"/>
      <c r="Q50" s="345"/>
      <c r="R50" s="345"/>
    </row>
    <row r="51" spans="1:18" s="67" customFormat="1" ht="18" customHeight="1" x14ac:dyDescent="0.2">
      <c r="A51" s="325">
        <f t="shared" si="2"/>
        <v>265</v>
      </c>
      <c r="B51" s="878"/>
      <c r="C51" s="326">
        <v>1</v>
      </c>
      <c r="D51" s="327">
        <f>LOOKUP(C51,Cities!A$3:A$343,Cities!B$3:B$343)</f>
        <v>0</v>
      </c>
      <c r="E51" s="332">
        <v>0</v>
      </c>
      <c r="F51" s="332">
        <v>0</v>
      </c>
      <c r="G51" s="331">
        <f t="shared" si="0"/>
        <v>0</v>
      </c>
      <c r="H51" s="914" t="str">
        <f t="shared" si="1"/>
        <v>n/a</v>
      </c>
      <c r="I51" s="332">
        <v>0</v>
      </c>
      <c r="J51" s="914" t="str">
        <f>IF(Overflow!K$6&gt;0,ROUND(I51/Overflow!K$6,6),"n/a")</f>
        <v>n/a</v>
      </c>
      <c r="K51" s="332">
        <v>0</v>
      </c>
      <c r="L51" s="914" t="str">
        <f>IF(Overflow!K$8&gt;0,ROUND(K51/Overflow!K$8,6),"n/a")</f>
        <v>n/a</v>
      </c>
      <c r="M51" s="330">
        <f>IF(Overflow!G$8+Overflow!K$6+Overflow!K$8=0,0,ROUND((IF(H51="n/a",0,H51)+IF(J51="n/a",0,J51)+IF(L51="n/a",0,L51))/N$9,6))</f>
        <v>0</v>
      </c>
      <c r="O51" s="785">
        <f>LOOKUP(C51,Cities!A$3:A$343,Cities!AA$3:AA$343)</f>
        <v>0</v>
      </c>
      <c r="P51" s="345"/>
      <c r="Q51" s="345"/>
      <c r="R51" s="345"/>
    </row>
    <row r="52" spans="1:18" s="67" customFormat="1" ht="18" customHeight="1" x14ac:dyDescent="0.2">
      <c r="A52" s="325">
        <f t="shared" si="2"/>
        <v>266</v>
      </c>
      <c r="B52" s="878"/>
      <c r="C52" s="326">
        <v>1</v>
      </c>
      <c r="D52" s="327">
        <f>LOOKUP(C52,Cities!A$3:A$343,Cities!B$3:B$343)</f>
        <v>0</v>
      </c>
      <c r="E52" s="332">
        <v>0</v>
      </c>
      <c r="F52" s="332">
        <v>0</v>
      </c>
      <c r="G52" s="331">
        <f t="shared" si="0"/>
        <v>0</v>
      </c>
      <c r="H52" s="914" t="str">
        <f t="shared" si="1"/>
        <v>n/a</v>
      </c>
      <c r="I52" s="332">
        <v>0</v>
      </c>
      <c r="J52" s="914" t="str">
        <f>IF(Overflow!K$6&gt;0,ROUND(I52/Overflow!K$6,6),"n/a")</f>
        <v>n/a</v>
      </c>
      <c r="K52" s="332">
        <v>0</v>
      </c>
      <c r="L52" s="914" t="str">
        <f>IF(Overflow!K$8&gt;0,ROUND(K52/Overflow!K$8,6),"n/a")</f>
        <v>n/a</v>
      </c>
      <c r="M52" s="330">
        <f>IF(Overflow!G$8+Overflow!K$6+Overflow!K$8=0,0,ROUND((IF(H52="n/a",0,H52)+IF(J52="n/a",0,J52)+IF(L52="n/a",0,L52))/N$9,6))</f>
        <v>0</v>
      </c>
      <c r="O52" s="785">
        <f>LOOKUP(C52,Cities!A$3:A$343,Cities!AA$3:AA$343)</f>
        <v>0</v>
      </c>
      <c r="P52" s="345"/>
      <c r="Q52" s="345"/>
      <c r="R52" s="345"/>
    </row>
    <row r="53" spans="1:18" s="67" customFormat="1" ht="18" customHeight="1" x14ac:dyDescent="0.2">
      <c r="A53" s="325">
        <f t="shared" si="2"/>
        <v>267</v>
      </c>
      <c r="B53" s="878"/>
      <c r="C53" s="326">
        <v>1</v>
      </c>
      <c r="D53" s="327">
        <f>LOOKUP(C53,Cities!A$3:A$343,Cities!B$3:B$343)</f>
        <v>0</v>
      </c>
      <c r="E53" s="332">
        <v>0</v>
      </c>
      <c r="F53" s="332">
        <v>0</v>
      </c>
      <c r="G53" s="331">
        <f t="shared" si="0"/>
        <v>0</v>
      </c>
      <c r="H53" s="914" t="str">
        <f t="shared" si="1"/>
        <v>n/a</v>
      </c>
      <c r="I53" s="332">
        <v>0</v>
      </c>
      <c r="J53" s="914" t="str">
        <f>IF(Overflow!K$6&gt;0,ROUND(I53/Overflow!K$6,6),"n/a")</f>
        <v>n/a</v>
      </c>
      <c r="K53" s="332">
        <v>0</v>
      </c>
      <c r="L53" s="914" t="str">
        <f>IF(Overflow!K$8&gt;0,ROUND(K53/Overflow!K$8,6),"n/a")</f>
        <v>n/a</v>
      </c>
      <c r="M53" s="330">
        <f>IF(Overflow!G$8+Overflow!K$6+Overflow!K$8=0,0,ROUND((IF(H53="n/a",0,H53)+IF(J53="n/a",0,J53)+IF(L53="n/a",0,L53))/N$9,6))</f>
        <v>0</v>
      </c>
      <c r="O53" s="785">
        <f>LOOKUP(C53,Cities!A$3:A$343,Cities!AA$3:AA$343)</f>
        <v>0</v>
      </c>
      <c r="P53" s="345"/>
      <c r="Q53" s="345"/>
      <c r="R53" s="345"/>
    </row>
    <row r="54" spans="1:18" s="67" customFormat="1" ht="18" customHeight="1" x14ac:dyDescent="0.2">
      <c r="A54" s="325">
        <f t="shared" si="2"/>
        <v>268</v>
      </c>
      <c r="B54" s="878"/>
      <c r="C54" s="326">
        <v>1</v>
      </c>
      <c r="D54" s="327">
        <f>LOOKUP(C54,Cities!A$3:A$343,Cities!B$3:B$343)</f>
        <v>0</v>
      </c>
      <c r="E54" s="332">
        <v>0</v>
      </c>
      <c r="F54" s="332">
        <v>0</v>
      </c>
      <c r="G54" s="331">
        <f t="shared" si="0"/>
        <v>0</v>
      </c>
      <c r="H54" s="914" t="str">
        <f t="shared" si="1"/>
        <v>n/a</v>
      </c>
      <c r="I54" s="332">
        <v>0</v>
      </c>
      <c r="J54" s="914" t="str">
        <f>IF(Overflow!K$6&gt;0,ROUND(I54/Overflow!K$6,6),"n/a")</f>
        <v>n/a</v>
      </c>
      <c r="K54" s="332">
        <v>0</v>
      </c>
      <c r="L54" s="914" t="str">
        <f>IF(Overflow!K$8&gt;0,ROUND(K54/Overflow!K$8,6),"n/a")</f>
        <v>n/a</v>
      </c>
      <c r="M54" s="330">
        <f>IF(Overflow!G$8+Overflow!K$6+Overflow!K$8=0,0,ROUND((IF(H54="n/a",0,H54)+IF(J54="n/a",0,J54)+IF(L54="n/a",0,L54))/N$9,6))</f>
        <v>0</v>
      </c>
      <c r="O54" s="785">
        <f>LOOKUP(C54,Cities!A$3:A$343,Cities!AA$3:AA$343)</f>
        <v>0</v>
      </c>
      <c r="P54" s="345"/>
      <c r="Q54" s="345"/>
      <c r="R54" s="345"/>
    </row>
    <row r="55" spans="1:18" s="67" customFormat="1" ht="18" customHeight="1" x14ac:dyDescent="0.2">
      <c r="A55" s="325">
        <f t="shared" si="2"/>
        <v>269</v>
      </c>
      <c r="B55" s="878"/>
      <c r="C55" s="326">
        <v>1</v>
      </c>
      <c r="D55" s="327">
        <f>LOOKUP(C55,Cities!A$3:A$343,Cities!B$3:B$343)</f>
        <v>0</v>
      </c>
      <c r="E55" s="332">
        <v>0</v>
      </c>
      <c r="F55" s="332">
        <v>0</v>
      </c>
      <c r="G55" s="331">
        <f t="shared" si="0"/>
        <v>0</v>
      </c>
      <c r="H55" s="914" t="str">
        <f t="shared" si="1"/>
        <v>n/a</v>
      </c>
      <c r="I55" s="332">
        <v>0</v>
      </c>
      <c r="J55" s="914" t="str">
        <f>IF(Overflow!K$6&gt;0,ROUND(I55/Overflow!K$6,6),"n/a")</f>
        <v>n/a</v>
      </c>
      <c r="K55" s="332">
        <v>0</v>
      </c>
      <c r="L55" s="914" t="str">
        <f>IF(Overflow!K$8&gt;0,ROUND(K55/Overflow!K$8,6),"n/a")</f>
        <v>n/a</v>
      </c>
      <c r="M55" s="330">
        <f>IF(Overflow!G$8+Overflow!K$6+Overflow!K$8=0,0,ROUND((IF(H55="n/a",0,H55)+IF(J55="n/a",0,J55)+IF(L55="n/a",0,L55))/N$9,6))</f>
        <v>0</v>
      </c>
      <c r="O55" s="785">
        <f>LOOKUP(C55,Cities!A$3:A$343,Cities!AA$3:AA$343)</f>
        <v>0</v>
      </c>
      <c r="P55" s="345"/>
      <c r="Q55" s="345"/>
      <c r="R55" s="345"/>
    </row>
    <row r="56" spans="1:18" s="67" customFormat="1" ht="18" customHeight="1" x14ac:dyDescent="0.2">
      <c r="A56" s="325">
        <f t="shared" si="2"/>
        <v>270</v>
      </c>
      <c r="B56" s="878"/>
      <c r="C56" s="326">
        <v>1</v>
      </c>
      <c r="D56" s="327">
        <f>LOOKUP(C56,Cities!A$3:A$343,Cities!B$3:B$343)</f>
        <v>0</v>
      </c>
      <c r="E56" s="332">
        <v>0</v>
      </c>
      <c r="F56" s="332">
        <v>0</v>
      </c>
      <c r="G56" s="331">
        <f t="shared" si="0"/>
        <v>0</v>
      </c>
      <c r="H56" s="914" t="str">
        <f t="shared" si="1"/>
        <v>n/a</v>
      </c>
      <c r="I56" s="332">
        <v>0</v>
      </c>
      <c r="J56" s="914" t="str">
        <f>IF(Overflow!K$6&gt;0,ROUND(I56/Overflow!K$6,6),"n/a")</f>
        <v>n/a</v>
      </c>
      <c r="K56" s="332">
        <v>0</v>
      </c>
      <c r="L56" s="914" t="str">
        <f>IF(Overflow!K$8&gt;0,ROUND(K56/Overflow!K$8,6),"n/a")</f>
        <v>n/a</v>
      </c>
      <c r="M56" s="330">
        <f>IF(Overflow!G$8+Overflow!K$6+Overflow!K$8=0,0,ROUND((IF(H56="n/a",0,H56)+IF(J56="n/a",0,J56)+IF(L56="n/a",0,L56))/N$9,6))</f>
        <v>0</v>
      </c>
      <c r="O56" s="785">
        <f>LOOKUP(C56,Cities!A$3:A$343,Cities!AA$3:AA$343)</f>
        <v>0</v>
      </c>
      <c r="P56" s="345"/>
      <c r="Q56" s="345"/>
      <c r="R56" s="345"/>
    </row>
    <row r="57" spans="1:18" s="67" customFormat="1" ht="18" customHeight="1" x14ac:dyDescent="0.2">
      <c r="M57" s="341">
        <f>SUM(M12:M56)</f>
        <v>0</v>
      </c>
      <c r="O57" s="345"/>
      <c r="P57" s="345"/>
      <c r="Q57" s="345"/>
      <c r="R57" s="345"/>
    </row>
    <row r="58" spans="1:18" s="67" customFormat="1" ht="12.75" customHeight="1" x14ac:dyDescent="0.2">
      <c r="B58" s="851"/>
      <c r="K58" s="1567" t="s">
        <v>1669</v>
      </c>
      <c r="O58" s="345"/>
      <c r="P58" s="345"/>
      <c r="Q58" s="345"/>
      <c r="R58" s="345"/>
    </row>
    <row r="59" spans="1:18" s="1" customFormat="1" ht="30" customHeight="1" x14ac:dyDescent="0.4">
      <c r="A59" s="1372" t="s">
        <v>372</v>
      </c>
      <c r="B59" s="1540"/>
      <c r="C59" s="216"/>
      <c r="D59" s="1541" t="s">
        <v>373</v>
      </c>
      <c r="E59" s="1338"/>
      <c r="F59" s="1338"/>
      <c r="G59" s="1338"/>
      <c r="H59" s="1338"/>
      <c r="I59" s="1338"/>
      <c r="J59" s="1338"/>
      <c r="K59" s="1560"/>
      <c r="L59" s="1380">
        <f>+L1</f>
        <v>2018</v>
      </c>
      <c r="M59" s="1381"/>
      <c r="O59" s="344"/>
      <c r="P59" s="344"/>
      <c r="Q59" s="344"/>
      <c r="R59" s="344"/>
    </row>
    <row r="60" spans="1:18" s="1" customFormat="1" ht="15.75" customHeight="1" x14ac:dyDescent="0.2">
      <c r="A60" s="1545" t="s">
        <v>159</v>
      </c>
      <c r="B60" s="1546"/>
      <c r="C60" s="217"/>
      <c r="D60" s="1557"/>
      <c r="E60" s="1558"/>
      <c r="F60" s="1558"/>
      <c r="G60" s="1558"/>
      <c r="H60" s="1558"/>
      <c r="I60" s="1558"/>
      <c r="J60" s="1558"/>
      <c r="K60" s="878"/>
      <c r="L60" s="1382" t="str">
        <f>+'Complete This Page'!J1</f>
        <v>NPAC v2018.0</v>
      </c>
      <c r="M60" s="1383"/>
      <c r="O60" s="291"/>
      <c r="P60" s="344"/>
      <c r="Q60" s="344"/>
      <c r="R60" s="344"/>
    </row>
    <row r="61" spans="1:18" s="1" customFormat="1" x14ac:dyDescent="0.2">
      <c r="A61" s="1" t="s">
        <v>467</v>
      </c>
      <c r="B61" s="879"/>
      <c r="C61" s="879"/>
      <c r="D61" s="879"/>
      <c r="E61" s="879"/>
      <c r="F61" s="879"/>
      <c r="G61" s="879"/>
      <c r="H61" s="879"/>
      <c r="I61" s="880"/>
      <c r="J61" s="334"/>
      <c r="K61" s="335" t="s">
        <v>466</v>
      </c>
      <c r="O61" s="291"/>
      <c r="P61" s="344"/>
      <c r="Q61" s="344"/>
      <c r="R61" s="344"/>
    </row>
    <row r="62" spans="1:18" s="1" customFormat="1" ht="18" x14ac:dyDescent="0.25">
      <c r="A62" s="881"/>
      <c r="B62" s="1377">
        <f>+B4</f>
        <v>0</v>
      </c>
      <c r="C62" s="1377"/>
      <c r="D62" s="1377"/>
      <c r="E62" s="1377"/>
      <c r="F62" s="1377"/>
      <c r="G62" s="1377"/>
      <c r="H62" s="1377"/>
      <c r="I62" s="1377"/>
      <c r="J62" s="1378"/>
      <c r="K62" s="1350">
        <f>+K4</f>
        <v>0</v>
      </c>
      <c r="L62" s="1351"/>
      <c r="M62" s="1351"/>
      <c r="O62" s="291"/>
      <c r="P62" s="344"/>
      <c r="Q62" s="344"/>
      <c r="R62" s="344"/>
    </row>
    <row r="63" spans="1:18" x14ac:dyDescent="0.2">
      <c r="A63" s="328"/>
      <c r="O63" s="786"/>
      <c r="P63" s="171"/>
      <c r="Q63" s="171"/>
      <c r="R63" s="171"/>
    </row>
    <row r="64" spans="1:18" ht="47.25" customHeight="1" x14ac:dyDescent="0.2">
      <c r="B64" s="322"/>
      <c r="C64" s="1"/>
      <c r="D64" s="1547" t="s">
        <v>588</v>
      </c>
      <c r="E64" s="1547" t="s">
        <v>1684</v>
      </c>
      <c r="F64" s="1547" t="s">
        <v>1690</v>
      </c>
      <c r="G64" s="1553" t="s">
        <v>1685</v>
      </c>
      <c r="H64" s="1554"/>
      <c r="I64" s="1553" t="s">
        <v>1689</v>
      </c>
      <c r="J64" s="1554"/>
      <c r="K64" s="21"/>
      <c r="L64" s="1539"/>
      <c r="M64" s="1123"/>
      <c r="O64" s="1565"/>
      <c r="P64" s="171"/>
      <c r="Q64" s="171"/>
      <c r="R64" s="171"/>
    </row>
    <row r="65" spans="1:18" x14ac:dyDescent="0.2">
      <c r="B65" s="323" t="s">
        <v>618</v>
      </c>
      <c r="C65" s="324" t="s">
        <v>164</v>
      </c>
      <c r="D65" s="1548"/>
      <c r="E65" s="1552"/>
      <c r="F65" s="1552"/>
      <c r="G65" s="1555"/>
      <c r="H65" s="1556"/>
      <c r="I65" s="1555"/>
      <c r="J65" s="1556"/>
      <c r="K65" s="22" t="s">
        <v>561</v>
      </c>
      <c r="L65" s="1064" t="s">
        <v>562</v>
      </c>
      <c r="M65" s="1549"/>
      <c r="O65" s="1565"/>
      <c r="P65" s="171"/>
      <c r="Q65" s="171"/>
      <c r="R65" s="171"/>
    </row>
    <row r="66" spans="1:18" ht="15" x14ac:dyDescent="0.2">
      <c r="A66" s="325">
        <v>226</v>
      </c>
      <c r="B66" s="336" t="str">
        <f>IF(C66=1,"",LOOKUP(C66,Cities!A$3:A$343,Cities!C$3:C$343))</f>
        <v/>
      </c>
      <c r="C66" s="338">
        <f t="shared" ref="C66:D81" si="3">+C12</f>
        <v>1</v>
      </c>
      <c r="D66" s="337">
        <f t="shared" si="3"/>
        <v>0</v>
      </c>
      <c r="E66" s="812">
        <f>ROUND('Print Return'!$L$37*'Overflow (6)'!M12,0)</f>
        <v>0</v>
      </c>
      <c r="F66" s="955"/>
      <c r="G66" s="1524"/>
      <c r="H66" s="1524"/>
      <c r="I66" s="1525">
        <f>IF(Data!D$33=TRUE,'Overflows Worksheet'!K254,'Overflows Worksheet'!T254)</f>
        <v>0</v>
      </c>
      <c r="J66" s="1525"/>
      <c r="K66" s="853">
        <f>LOOKUP(C12,Cities!A$3:A$343,Cities!D$3:D$343)</f>
        <v>0</v>
      </c>
      <c r="L66" s="1522">
        <f>IF(AND(I66&gt;0, OR(I66*K66&gt;10,$L$1&lt;2016)),ROUND(I66*K66,0),0)</f>
        <v>0</v>
      </c>
      <c r="M66" s="1523"/>
      <c r="N66" s="339">
        <f>LOOKUP($C12,Cities!$A$3:$A$356,Cities!$V$3:$V$356)</f>
        <v>0</v>
      </c>
      <c r="O66" s="936" t="str">
        <f>IF(AND(ISNUMBER($L$1)=TRUE,ISNUMBER(O12)=TRUE,O12&gt;=$L$1-5), CONCATENATE("Last 0% tax rate year ", O12),"")</f>
        <v/>
      </c>
      <c r="P66" s="785"/>
      <c r="Q66" s="785">
        <f>IF(P66=FALSE,F66,0)</f>
        <v>0</v>
      </c>
      <c r="R66" s="171"/>
    </row>
    <row r="67" spans="1:18" ht="15" x14ac:dyDescent="0.2">
      <c r="A67" s="325">
        <f>A66+1</f>
        <v>227</v>
      </c>
      <c r="B67" s="336" t="str">
        <f>IF(C67=1,"",LOOKUP(C67,Cities!A$3:A$343,Cities!C$3:C$343))</f>
        <v/>
      </c>
      <c r="C67" s="338">
        <f t="shared" si="3"/>
        <v>1</v>
      </c>
      <c r="D67" s="337">
        <f t="shared" si="3"/>
        <v>0</v>
      </c>
      <c r="E67" s="812">
        <f>ROUND('Print Return'!$L$37*'Overflow (6)'!M13,0)</f>
        <v>0</v>
      </c>
      <c r="F67" s="955"/>
      <c r="G67" s="1524"/>
      <c r="H67" s="1524"/>
      <c r="I67" s="1525">
        <f>IF(Data!D$33=TRUE,'Overflows Worksheet'!K255,'Overflows Worksheet'!T255)</f>
        <v>0</v>
      </c>
      <c r="J67" s="1525"/>
      <c r="K67" s="853">
        <f>LOOKUP(C13,Cities!A$3:A$343,Cities!D$3:D$343)</f>
        <v>0</v>
      </c>
      <c r="L67" s="1522">
        <f t="shared" ref="L67:L110" si="4">IF(AND(I67&gt;0, OR(I67*K67&gt;10,$L$1&lt;2016)),ROUND(I67*K67,0),0)</f>
        <v>0</v>
      </c>
      <c r="M67" s="1523"/>
      <c r="N67" s="339">
        <f>LOOKUP($C13,Cities!$A$3:$A$356,Cities!$V$3:$V$356)</f>
        <v>0</v>
      </c>
      <c r="O67" s="936" t="str">
        <f t="shared" ref="O67:O110" si="5">IF(AND(ISNUMBER($L$1)=TRUE,ISNUMBER(O13)=TRUE,O13&gt;=$L$1-5), CONCATENATE("Last 0% tax rate year ", O13),"")</f>
        <v/>
      </c>
      <c r="P67" s="785"/>
      <c r="Q67" s="785">
        <f t="shared" ref="Q67:Q110" si="6">IF(P67=FALSE,F67,0)</f>
        <v>0</v>
      </c>
      <c r="R67" s="171"/>
    </row>
    <row r="68" spans="1:18" ht="15" x14ac:dyDescent="0.2">
      <c r="A68" s="325">
        <f t="shared" ref="A68:A110" si="7">A67+1</f>
        <v>228</v>
      </c>
      <c r="B68" s="336" t="str">
        <f>IF(C68=1,"",LOOKUP(C68,Cities!A$3:A$343,Cities!C$3:C$343))</f>
        <v/>
      </c>
      <c r="C68" s="338">
        <f t="shared" si="3"/>
        <v>1</v>
      </c>
      <c r="D68" s="337">
        <f t="shared" si="3"/>
        <v>0</v>
      </c>
      <c r="E68" s="812">
        <f>ROUND('Print Return'!$L$37*'Overflow (6)'!M14,0)</f>
        <v>0</v>
      </c>
      <c r="F68" s="955"/>
      <c r="G68" s="1524"/>
      <c r="H68" s="1524"/>
      <c r="I68" s="1525">
        <f>IF(Data!D$33=TRUE,'Overflows Worksheet'!K256,'Overflows Worksheet'!T256)</f>
        <v>0</v>
      </c>
      <c r="J68" s="1525"/>
      <c r="K68" s="853">
        <f>LOOKUP(C14,Cities!A$3:A$343,Cities!D$3:D$343)</f>
        <v>0</v>
      </c>
      <c r="L68" s="1522">
        <f t="shared" si="4"/>
        <v>0</v>
      </c>
      <c r="M68" s="1523"/>
      <c r="N68" s="339">
        <f>LOOKUP($C14,Cities!$A$3:$A$356,Cities!$V$3:$V$356)</f>
        <v>0</v>
      </c>
      <c r="O68" s="936" t="str">
        <f t="shared" si="5"/>
        <v/>
      </c>
      <c r="P68" s="785"/>
      <c r="Q68" s="785">
        <f t="shared" si="6"/>
        <v>0</v>
      </c>
      <c r="R68" s="171"/>
    </row>
    <row r="69" spans="1:18" ht="15" x14ac:dyDescent="0.2">
      <c r="A69" s="325">
        <f t="shared" si="7"/>
        <v>229</v>
      </c>
      <c r="B69" s="336" t="str">
        <f>IF(C69=1,"",LOOKUP(C69,Cities!A$3:A$343,Cities!C$3:C$343))</f>
        <v/>
      </c>
      <c r="C69" s="338">
        <f t="shared" si="3"/>
        <v>1</v>
      </c>
      <c r="D69" s="337">
        <f t="shared" si="3"/>
        <v>0</v>
      </c>
      <c r="E69" s="812">
        <f>ROUND('Print Return'!$L$37*'Overflow (6)'!M15,0)</f>
        <v>0</v>
      </c>
      <c r="F69" s="955"/>
      <c r="G69" s="1524"/>
      <c r="H69" s="1524"/>
      <c r="I69" s="1525">
        <f>IF(Data!D$33=TRUE,'Overflows Worksheet'!K257,'Overflows Worksheet'!T257)</f>
        <v>0</v>
      </c>
      <c r="J69" s="1525"/>
      <c r="K69" s="853">
        <f>LOOKUP(C15,Cities!A$3:A$343,Cities!D$3:D$343)</f>
        <v>0</v>
      </c>
      <c r="L69" s="1522">
        <f t="shared" si="4"/>
        <v>0</v>
      </c>
      <c r="M69" s="1523"/>
      <c r="N69" s="339">
        <f>LOOKUP($C15,Cities!$A$3:$A$356,Cities!$V$3:$V$356)</f>
        <v>0</v>
      </c>
      <c r="O69" s="936" t="str">
        <f t="shared" si="5"/>
        <v/>
      </c>
      <c r="P69" s="785"/>
      <c r="Q69" s="785">
        <f t="shared" si="6"/>
        <v>0</v>
      </c>
      <c r="R69" s="171"/>
    </row>
    <row r="70" spans="1:18" ht="15" x14ac:dyDescent="0.2">
      <c r="A70" s="325">
        <f t="shared" si="7"/>
        <v>230</v>
      </c>
      <c r="B70" s="336" t="str">
        <f>IF(C70=1,"",LOOKUP(C70,Cities!A$3:A$343,Cities!C$3:C$343))</f>
        <v/>
      </c>
      <c r="C70" s="338">
        <f t="shared" si="3"/>
        <v>1</v>
      </c>
      <c r="D70" s="337">
        <f t="shared" si="3"/>
        <v>0</v>
      </c>
      <c r="E70" s="812">
        <f>ROUND('Print Return'!$L$37*'Overflow (6)'!M16,0)</f>
        <v>0</v>
      </c>
      <c r="F70" s="955"/>
      <c r="G70" s="1524"/>
      <c r="H70" s="1524"/>
      <c r="I70" s="1525">
        <f>IF(Data!D$33=TRUE,'Overflows Worksheet'!K258,'Overflows Worksheet'!T258)</f>
        <v>0</v>
      </c>
      <c r="J70" s="1525"/>
      <c r="K70" s="853">
        <f>LOOKUP(C16,Cities!A$3:A$343,Cities!D$3:D$343)</f>
        <v>0</v>
      </c>
      <c r="L70" s="1522">
        <f t="shared" si="4"/>
        <v>0</v>
      </c>
      <c r="M70" s="1523"/>
      <c r="N70" s="339">
        <f>LOOKUP($C16,Cities!$A$3:$A$356,Cities!$V$3:$V$356)</f>
        <v>0</v>
      </c>
      <c r="O70" s="936" t="str">
        <f t="shared" si="5"/>
        <v/>
      </c>
      <c r="P70" s="785"/>
      <c r="Q70" s="785">
        <f t="shared" si="6"/>
        <v>0</v>
      </c>
      <c r="R70" s="171"/>
    </row>
    <row r="71" spans="1:18" ht="15" x14ac:dyDescent="0.2">
      <c r="A71" s="325">
        <f t="shared" si="7"/>
        <v>231</v>
      </c>
      <c r="B71" s="336" t="str">
        <f>IF(C71=1,"",LOOKUP(C71,Cities!A$3:A$343,Cities!C$3:C$343))</f>
        <v/>
      </c>
      <c r="C71" s="338">
        <f t="shared" si="3"/>
        <v>1</v>
      </c>
      <c r="D71" s="337">
        <f t="shared" si="3"/>
        <v>0</v>
      </c>
      <c r="E71" s="812">
        <f>ROUND('Print Return'!$L$37*'Overflow (6)'!M17,0)</f>
        <v>0</v>
      </c>
      <c r="F71" s="955"/>
      <c r="G71" s="1524"/>
      <c r="H71" s="1524"/>
      <c r="I71" s="1525">
        <f>IF(Data!D$33=TRUE,'Overflows Worksheet'!K259,'Overflows Worksheet'!T259)</f>
        <v>0</v>
      </c>
      <c r="J71" s="1525"/>
      <c r="K71" s="853">
        <f>LOOKUP(C17,Cities!A$3:A$343,Cities!D$3:D$343)</f>
        <v>0</v>
      </c>
      <c r="L71" s="1522">
        <f t="shared" si="4"/>
        <v>0</v>
      </c>
      <c r="M71" s="1523"/>
      <c r="N71" s="339">
        <f>LOOKUP($C17,Cities!$A$3:$A$356,Cities!$V$3:$V$356)</f>
        <v>0</v>
      </c>
      <c r="O71" s="936" t="str">
        <f t="shared" si="5"/>
        <v/>
      </c>
      <c r="P71" s="785"/>
      <c r="Q71" s="785">
        <f t="shared" si="6"/>
        <v>0</v>
      </c>
      <c r="R71" s="171"/>
    </row>
    <row r="72" spans="1:18" ht="15" x14ac:dyDescent="0.2">
      <c r="A72" s="325">
        <f t="shared" si="7"/>
        <v>232</v>
      </c>
      <c r="B72" s="336" t="str">
        <f>IF(C72=1,"",LOOKUP(C72,Cities!A$3:A$343,Cities!C$3:C$343))</f>
        <v/>
      </c>
      <c r="C72" s="338">
        <f t="shared" si="3"/>
        <v>1</v>
      </c>
      <c r="D72" s="337">
        <f t="shared" si="3"/>
        <v>0</v>
      </c>
      <c r="E72" s="812">
        <f>ROUND('Print Return'!$L$37*'Overflow (6)'!M18,0)</f>
        <v>0</v>
      </c>
      <c r="F72" s="955"/>
      <c r="G72" s="1524"/>
      <c r="H72" s="1524"/>
      <c r="I72" s="1525">
        <f>IF(Data!D$33=TRUE,'Overflows Worksheet'!K260,'Overflows Worksheet'!T260)</f>
        <v>0</v>
      </c>
      <c r="J72" s="1525"/>
      <c r="K72" s="853">
        <f>LOOKUP(C18,Cities!A$3:A$343,Cities!D$3:D$343)</f>
        <v>0</v>
      </c>
      <c r="L72" s="1522">
        <f t="shared" si="4"/>
        <v>0</v>
      </c>
      <c r="M72" s="1523"/>
      <c r="N72" s="339">
        <f>LOOKUP($C18,Cities!$A$3:$A$356,Cities!$V$3:$V$356)</f>
        <v>0</v>
      </c>
      <c r="O72" s="936" t="str">
        <f t="shared" si="5"/>
        <v/>
      </c>
      <c r="P72" s="785"/>
      <c r="Q72" s="785">
        <f t="shared" si="6"/>
        <v>0</v>
      </c>
      <c r="R72" s="171"/>
    </row>
    <row r="73" spans="1:18" ht="15" x14ac:dyDescent="0.2">
      <c r="A73" s="325">
        <f t="shared" si="7"/>
        <v>233</v>
      </c>
      <c r="B73" s="336" t="str">
        <f>IF(C73=1,"",LOOKUP(C73,Cities!A$3:A$343,Cities!C$3:C$343))</f>
        <v/>
      </c>
      <c r="C73" s="338">
        <f t="shared" si="3"/>
        <v>1</v>
      </c>
      <c r="D73" s="337">
        <f t="shared" si="3"/>
        <v>0</v>
      </c>
      <c r="E73" s="812">
        <f>ROUND('Print Return'!$L$37*'Overflow (6)'!M19,0)</f>
        <v>0</v>
      </c>
      <c r="F73" s="955"/>
      <c r="G73" s="1524"/>
      <c r="H73" s="1524"/>
      <c r="I73" s="1525">
        <f>IF(Data!D$33=TRUE,'Overflows Worksheet'!K261,'Overflows Worksheet'!T261)</f>
        <v>0</v>
      </c>
      <c r="J73" s="1525"/>
      <c r="K73" s="853">
        <f>LOOKUP(C19,Cities!A$3:A$343,Cities!D$3:D$343)</f>
        <v>0</v>
      </c>
      <c r="L73" s="1522">
        <f t="shared" si="4"/>
        <v>0</v>
      </c>
      <c r="M73" s="1523"/>
      <c r="N73" s="339">
        <f>LOOKUP($C19,Cities!$A$3:$A$356,Cities!$V$3:$V$356)</f>
        <v>0</v>
      </c>
      <c r="O73" s="936" t="str">
        <f t="shared" si="5"/>
        <v/>
      </c>
      <c r="P73" s="785"/>
      <c r="Q73" s="785">
        <f t="shared" si="6"/>
        <v>0</v>
      </c>
      <c r="R73" s="171"/>
    </row>
    <row r="74" spans="1:18" ht="15" x14ac:dyDescent="0.2">
      <c r="A74" s="325">
        <f t="shared" si="7"/>
        <v>234</v>
      </c>
      <c r="B74" s="336" t="str">
        <f>IF(C74=1,"",LOOKUP(C74,Cities!A$3:A$343,Cities!C$3:C$343))</f>
        <v/>
      </c>
      <c r="C74" s="338">
        <f t="shared" si="3"/>
        <v>1</v>
      </c>
      <c r="D74" s="337">
        <f t="shared" si="3"/>
        <v>0</v>
      </c>
      <c r="E74" s="812">
        <f>ROUND('Print Return'!$L$37*'Overflow (6)'!M20,0)</f>
        <v>0</v>
      </c>
      <c r="F74" s="955"/>
      <c r="G74" s="1524"/>
      <c r="H74" s="1524"/>
      <c r="I74" s="1525">
        <f>IF(Data!D$33=TRUE,'Overflows Worksheet'!K262,'Overflows Worksheet'!T262)</f>
        <v>0</v>
      </c>
      <c r="J74" s="1525"/>
      <c r="K74" s="853">
        <f>LOOKUP(C20,Cities!A$3:A$343,Cities!D$3:D$343)</f>
        <v>0</v>
      </c>
      <c r="L74" s="1522">
        <f t="shared" si="4"/>
        <v>0</v>
      </c>
      <c r="M74" s="1523"/>
      <c r="N74" s="339">
        <f>LOOKUP($C20,Cities!$A$3:$A$356,Cities!$V$3:$V$356)</f>
        <v>0</v>
      </c>
      <c r="O74" s="936" t="str">
        <f t="shared" si="5"/>
        <v/>
      </c>
      <c r="P74" s="785"/>
      <c r="Q74" s="785">
        <f t="shared" si="6"/>
        <v>0</v>
      </c>
      <c r="R74" s="171"/>
    </row>
    <row r="75" spans="1:18" ht="15" x14ac:dyDescent="0.2">
      <c r="A75" s="325">
        <f t="shared" si="7"/>
        <v>235</v>
      </c>
      <c r="B75" s="336" t="str">
        <f>IF(C75=1,"",LOOKUP(C75,Cities!A$3:A$343,Cities!C$3:C$343))</f>
        <v/>
      </c>
      <c r="C75" s="338">
        <f t="shared" si="3"/>
        <v>1</v>
      </c>
      <c r="D75" s="337">
        <f t="shared" si="3"/>
        <v>0</v>
      </c>
      <c r="E75" s="812">
        <f>ROUND('Print Return'!$L$37*'Overflow (6)'!M21,0)</f>
        <v>0</v>
      </c>
      <c r="F75" s="955"/>
      <c r="G75" s="1524"/>
      <c r="H75" s="1524"/>
      <c r="I75" s="1525">
        <f>IF(Data!D$33=TRUE,'Overflows Worksheet'!K263,'Overflows Worksheet'!T263)</f>
        <v>0</v>
      </c>
      <c r="J75" s="1525"/>
      <c r="K75" s="853">
        <f>LOOKUP(C21,Cities!A$3:A$343,Cities!D$3:D$343)</f>
        <v>0</v>
      </c>
      <c r="L75" s="1522">
        <f t="shared" si="4"/>
        <v>0</v>
      </c>
      <c r="M75" s="1523"/>
      <c r="N75" s="339">
        <f>LOOKUP($C21,Cities!$A$3:$A$356,Cities!$V$3:$V$356)</f>
        <v>0</v>
      </c>
      <c r="O75" s="936" t="str">
        <f t="shared" si="5"/>
        <v/>
      </c>
      <c r="P75" s="785"/>
      <c r="Q75" s="785">
        <f t="shared" si="6"/>
        <v>0</v>
      </c>
      <c r="R75" s="171"/>
    </row>
    <row r="76" spans="1:18" ht="15" x14ac:dyDescent="0.2">
      <c r="A76" s="325">
        <f t="shared" si="7"/>
        <v>236</v>
      </c>
      <c r="B76" s="336" t="str">
        <f>IF(C76=1,"",LOOKUP(C76,Cities!A$3:A$343,Cities!C$3:C$343))</f>
        <v/>
      </c>
      <c r="C76" s="338">
        <f t="shared" si="3"/>
        <v>1</v>
      </c>
      <c r="D76" s="337">
        <f t="shared" si="3"/>
        <v>0</v>
      </c>
      <c r="E76" s="812">
        <f>ROUND('Print Return'!$L$37*'Overflow (6)'!M22,0)</f>
        <v>0</v>
      </c>
      <c r="F76" s="955"/>
      <c r="G76" s="1524"/>
      <c r="H76" s="1524"/>
      <c r="I76" s="1525">
        <f>IF(Data!D$33=TRUE,'Overflows Worksheet'!K264,'Overflows Worksheet'!T264)</f>
        <v>0</v>
      </c>
      <c r="J76" s="1525"/>
      <c r="K76" s="853">
        <f>LOOKUP(C22,Cities!A$3:A$343,Cities!D$3:D$343)</f>
        <v>0</v>
      </c>
      <c r="L76" s="1522">
        <f t="shared" si="4"/>
        <v>0</v>
      </c>
      <c r="M76" s="1523"/>
      <c r="N76" s="339">
        <f>LOOKUP($C22,Cities!$A$3:$A$356,Cities!$V$3:$V$356)</f>
        <v>0</v>
      </c>
      <c r="O76" s="936" t="str">
        <f t="shared" si="5"/>
        <v/>
      </c>
      <c r="P76" s="785"/>
      <c r="Q76" s="785">
        <f t="shared" si="6"/>
        <v>0</v>
      </c>
      <c r="R76" s="171"/>
    </row>
    <row r="77" spans="1:18" ht="15" x14ac:dyDescent="0.2">
      <c r="A77" s="325">
        <f t="shared" si="7"/>
        <v>237</v>
      </c>
      <c r="B77" s="336" t="str">
        <f>IF(C77=1,"",LOOKUP(C77,Cities!A$3:A$343,Cities!C$3:C$343))</f>
        <v/>
      </c>
      <c r="C77" s="338">
        <f t="shared" si="3"/>
        <v>1</v>
      </c>
      <c r="D77" s="337">
        <f t="shared" si="3"/>
        <v>0</v>
      </c>
      <c r="E77" s="812">
        <f>ROUND('Print Return'!$L$37*'Overflow (6)'!M23,0)</f>
        <v>0</v>
      </c>
      <c r="F77" s="955"/>
      <c r="G77" s="1524"/>
      <c r="H77" s="1524"/>
      <c r="I77" s="1525">
        <f>IF(Data!D$33=TRUE,'Overflows Worksheet'!K265,'Overflows Worksheet'!T265)</f>
        <v>0</v>
      </c>
      <c r="J77" s="1525"/>
      <c r="K77" s="853">
        <f>LOOKUP(C23,Cities!A$3:A$343,Cities!D$3:D$343)</f>
        <v>0</v>
      </c>
      <c r="L77" s="1522">
        <f t="shared" si="4"/>
        <v>0</v>
      </c>
      <c r="M77" s="1523"/>
      <c r="N77" s="339">
        <f>LOOKUP($C23,Cities!$A$3:$A$356,Cities!$V$3:$V$356)</f>
        <v>0</v>
      </c>
      <c r="O77" s="936" t="str">
        <f t="shared" si="5"/>
        <v/>
      </c>
      <c r="P77" s="785"/>
      <c r="Q77" s="785">
        <f t="shared" si="6"/>
        <v>0</v>
      </c>
      <c r="R77" s="171"/>
    </row>
    <row r="78" spans="1:18" ht="15" x14ac:dyDescent="0.2">
      <c r="A78" s="325">
        <f t="shared" si="7"/>
        <v>238</v>
      </c>
      <c r="B78" s="336" t="str">
        <f>IF(C78=1,"",LOOKUP(C78,Cities!A$3:A$343,Cities!C$3:C$343))</f>
        <v/>
      </c>
      <c r="C78" s="338">
        <f t="shared" si="3"/>
        <v>1</v>
      </c>
      <c r="D78" s="337">
        <f t="shared" si="3"/>
        <v>0</v>
      </c>
      <c r="E78" s="812">
        <f>ROUND('Print Return'!$L$37*'Overflow (6)'!M24,0)</f>
        <v>0</v>
      </c>
      <c r="F78" s="955"/>
      <c r="G78" s="1524"/>
      <c r="H78" s="1524"/>
      <c r="I78" s="1525">
        <f>IF(Data!D$33=TRUE,'Overflows Worksheet'!K266,'Overflows Worksheet'!T266)</f>
        <v>0</v>
      </c>
      <c r="J78" s="1525"/>
      <c r="K78" s="853">
        <f>LOOKUP(C24,Cities!A$3:A$343,Cities!D$3:D$343)</f>
        <v>0</v>
      </c>
      <c r="L78" s="1522">
        <f t="shared" si="4"/>
        <v>0</v>
      </c>
      <c r="M78" s="1523"/>
      <c r="N78" s="339">
        <f>LOOKUP($C24,Cities!$A$3:$A$356,Cities!$V$3:$V$356)</f>
        <v>0</v>
      </c>
      <c r="O78" s="936" t="str">
        <f t="shared" si="5"/>
        <v/>
      </c>
      <c r="P78" s="785"/>
      <c r="Q78" s="785">
        <f t="shared" si="6"/>
        <v>0</v>
      </c>
      <c r="R78" s="171"/>
    </row>
    <row r="79" spans="1:18" ht="15" x14ac:dyDescent="0.2">
      <c r="A79" s="325">
        <f t="shared" si="7"/>
        <v>239</v>
      </c>
      <c r="B79" s="336" t="str">
        <f>IF(C79=1,"",LOOKUP(C79,Cities!A$3:A$343,Cities!C$3:C$343))</f>
        <v/>
      </c>
      <c r="C79" s="338">
        <f t="shared" si="3"/>
        <v>1</v>
      </c>
      <c r="D79" s="337">
        <f t="shared" si="3"/>
        <v>0</v>
      </c>
      <c r="E79" s="812">
        <f>ROUND('Print Return'!$L$37*'Overflow (6)'!M25,0)</f>
        <v>0</v>
      </c>
      <c r="F79" s="955"/>
      <c r="G79" s="1524"/>
      <c r="H79" s="1524"/>
      <c r="I79" s="1525">
        <f>IF(Data!D$33=TRUE,'Overflows Worksheet'!K267,'Overflows Worksheet'!T267)</f>
        <v>0</v>
      </c>
      <c r="J79" s="1525"/>
      <c r="K79" s="853">
        <f>LOOKUP(C25,Cities!A$3:A$343,Cities!D$3:D$343)</f>
        <v>0</v>
      </c>
      <c r="L79" s="1522">
        <f t="shared" si="4"/>
        <v>0</v>
      </c>
      <c r="M79" s="1523"/>
      <c r="N79" s="339">
        <f>LOOKUP($C25,Cities!$A$3:$A$356,Cities!$V$3:$V$356)</f>
        <v>0</v>
      </c>
      <c r="O79" s="936" t="str">
        <f t="shared" si="5"/>
        <v/>
      </c>
      <c r="P79" s="785"/>
      <c r="Q79" s="785">
        <f t="shared" si="6"/>
        <v>0</v>
      </c>
      <c r="R79" s="171"/>
    </row>
    <row r="80" spans="1:18" ht="15" x14ac:dyDescent="0.2">
      <c r="A80" s="325">
        <f t="shared" si="7"/>
        <v>240</v>
      </c>
      <c r="B80" s="336" t="str">
        <f>IF(C80=1,"",LOOKUP(C80,Cities!A$3:A$343,Cities!C$3:C$343))</f>
        <v/>
      </c>
      <c r="C80" s="338">
        <f t="shared" si="3"/>
        <v>1</v>
      </c>
      <c r="D80" s="337">
        <f t="shared" si="3"/>
        <v>0</v>
      </c>
      <c r="E80" s="812">
        <f>ROUND('Print Return'!$L$37*'Overflow (6)'!M26,0)</f>
        <v>0</v>
      </c>
      <c r="F80" s="955"/>
      <c r="G80" s="1524"/>
      <c r="H80" s="1524"/>
      <c r="I80" s="1525">
        <f>IF(Data!D$33=TRUE,'Overflows Worksheet'!K268,'Overflows Worksheet'!T268)</f>
        <v>0</v>
      </c>
      <c r="J80" s="1525"/>
      <c r="K80" s="853">
        <f>LOOKUP(C26,Cities!A$3:A$343,Cities!D$3:D$343)</f>
        <v>0</v>
      </c>
      <c r="L80" s="1522">
        <f t="shared" si="4"/>
        <v>0</v>
      </c>
      <c r="M80" s="1523"/>
      <c r="N80" s="339">
        <f>LOOKUP($C26,Cities!$A$3:$A$356,Cities!$V$3:$V$356)</f>
        <v>0</v>
      </c>
      <c r="O80" s="936" t="str">
        <f t="shared" si="5"/>
        <v/>
      </c>
      <c r="P80" s="785"/>
      <c r="Q80" s="785">
        <f t="shared" si="6"/>
        <v>0</v>
      </c>
      <c r="R80" s="171"/>
    </row>
    <row r="81" spans="1:18" ht="15" x14ac:dyDescent="0.2">
      <c r="A81" s="325">
        <f t="shared" si="7"/>
        <v>241</v>
      </c>
      <c r="B81" s="336" t="str">
        <f>IF(C81=1,"",LOOKUP(C81,Cities!A$3:A$343,Cities!C$3:C$343))</f>
        <v/>
      </c>
      <c r="C81" s="338">
        <f t="shared" si="3"/>
        <v>1</v>
      </c>
      <c r="D81" s="337">
        <f t="shared" si="3"/>
        <v>0</v>
      </c>
      <c r="E81" s="812">
        <f>ROUND('Print Return'!$L$37*'Overflow (6)'!M27,0)</f>
        <v>0</v>
      </c>
      <c r="F81" s="955"/>
      <c r="G81" s="1524"/>
      <c r="H81" s="1524"/>
      <c r="I81" s="1525">
        <f>IF(Data!D$33=TRUE,'Overflows Worksheet'!K269,'Overflows Worksheet'!T269)</f>
        <v>0</v>
      </c>
      <c r="J81" s="1525"/>
      <c r="K81" s="853">
        <f>LOOKUP(C27,Cities!A$3:A$343,Cities!D$3:D$343)</f>
        <v>0</v>
      </c>
      <c r="L81" s="1522">
        <f t="shared" si="4"/>
        <v>0</v>
      </c>
      <c r="M81" s="1523"/>
      <c r="N81" s="339">
        <f>LOOKUP($C27,Cities!$A$3:$A$356,Cities!$V$3:$V$356)</f>
        <v>0</v>
      </c>
      <c r="O81" s="936" t="str">
        <f t="shared" si="5"/>
        <v/>
      </c>
      <c r="P81" s="785"/>
      <c r="Q81" s="785">
        <f t="shared" si="6"/>
        <v>0</v>
      </c>
      <c r="R81" s="171"/>
    </row>
    <row r="82" spans="1:18" ht="15" x14ac:dyDescent="0.2">
      <c r="A82" s="325">
        <f t="shared" si="7"/>
        <v>242</v>
      </c>
      <c r="B82" s="336" t="str">
        <f>IF(C82=1,"",LOOKUP(C82,Cities!A$3:A$343,Cities!C$3:C$343))</f>
        <v/>
      </c>
      <c r="C82" s="338">
        <f t="shared" ref="C82:D97" si="8">+C28</f>
        <v>1</v>
      </c>
      <c r="D82" s="337">
        <f t="shared" si="8"/>
        <v>0</v>
      </c>
      <c r="E82" s="812">
        <f>ROUND('Print Return'!$L$37*'Overflow (6)'!M28,0)</f>
        <v>0</v>
      </c>
      <c r="F82" s="955"/>
      <c r="G82" s="1524"/>
      <c r="H82" s="1524"/>
      <c r="I82" s="1525">
        <f>IF(Data!D$33=TRUE,'Overflows Worksheet'!K270,'Overflows Worksheet'!T270)</f>
        <v>0</v>
      </c>
      <c r="J82" s="1525"/>
      <c r="K82" s="853">
        <f>LOOKUP(C28,Cities!A$3:A$343,Cities!D$3:D$343)</f>
        <v>0</v>
      </c>
      <c r="L82" s="1522">
        <f t="shared" si="4"/>
        <v>0</v>
      </c>
      <c r="M82" s="1523"/>
      <c r="N82" s="339">
        <f>LOOKUP($C28,Cities!$A$3:$A$356,Cities!$V$3:$V$356)</f>
        <v>0</v>
      </c>
      <c r="O82" s="936" t="str">
        <f t="shared" si="5"/>
        <v/>
      </c>
      <c r="P82" s="785"/>
      <c r="Q82" s="785">
        <f t="shared" si="6"/>
        <v>0</v>
      </c>
      <c r="R82" s="171"/>
    </row>
    <row r="83" spans="1:18" ht="15" x14ac:dyDescent="0.2">
      <c r="A83" s="325">
        <f t="shared" si="7"/>
        <v>243</v>
      </c>
      <c r="B83" s="336" t="str">
        <f>IF(C83=1,"",LOOKUP(C83,Cities!A$3:A$343,Cities!C$3:C$343))</f>
        <v/>
      </c>
      <c r="C83" s="338">
        <f t="shared" si="8"/>
        <v>1</v>
      </c>
      <c r="D83" s="337">
        <f t="shared" si="8"/>
        <v>0</v>
      </c>
      <c r="E83" s="812">
        <f>ROUND('Print Return'!$L$37*'Overflow (6)'!M29,0)</f>
        <v>0</v>
      </c>
      <c r="F83" s="955"/>
      <c r="G83" s="1524"/>
      <c r="H83" s="1524"/>
      <c r="I83" s="1525">
        <f>IF(Data!D$33=TRUE,'Overflows Worksheet'!K271,'Overflows Worksheet'!T271)</f>
        <v>0</v>
      </c>
      <c r="J83" s="1525"/>
      <c r="K83" s="853">
        <f>LOOKUP(C29,Cities!A$3:A$343,Cities!D$3:D$343)</f>
        <v>0</v>
      </c>
      <c r="L83" s="1522">
        <f t="shared" si="4"/>
        <v>0</v>
      </c>
      <c r="M83" s="1523"/>
      <c r="N83" s="339">
        <f>LOOKUP($C29,Cities!$A$3:$A$356,Cities!$V$3:$V$356)</f>
        <v>0</v>
      </c>
      <c r="O83" s="936" t="str">
        <f t="shared" si="5"/>
        <v/>
      </c>
      <c r="P83" s="785"/>
      <c r="Q83" s="785">
        <f t="shared" si="6"/>
        <v>0</v>
      </c>
      <c r="R83" s="171"/>
    </row>
    <row r="84" spans="1:18" ht="15" x14ac:dyDescent="0.2">
      <c r="A84" s="325">
        <f t="shared" si="7"/>
        <v>244</v>
      </c>
      <c r="B84" s="336" t="str">
        <f>IF(C84=1,"",LOOKUP(C84,Cities!A$3:A$343,Cities!C$3:C$343))</f>
        <v/>
      </c>
      <c r="C84" s="338">
        <f t="shared" si="8"/>
        <v>1</v>
      </c>
      <c r="D84" s="337">
        <f t="shared" si="8"/>
        <v>0</v>
      </c>
      <c r="E84" s="812">
        <f>ROUND('Print Return'!$L$37*'Overflow (6)'!M30,0)</f>
        <v>0</v>
      </c>
      <c r="F84" s="955"/>
      <c r="G84" s="1524"/>
      <c r="H84" s="1524"/>
      <c r="I84" s="1525">
        <f>IF(Data!D$33=TRUE,'Overflows Worksheet'!K272,'Overflows Worksheet'!T272)</f>
        <v>0</v>
      </c>
      <c r="J84" s="1525"/>
      <c r="K84" s="853">
        <f>LOOKUP(C30,Cities!A$3:A$343,Cities!D$3:D$343)</f>
        <v>0</v>
      </c>
      <c r="L84" s="1522">
        <f t="shared" si="4"/>
        <v>0</v>
      </c>
      <c r="M84" s="1523"/>
      <c r="N84" s="339">
        <f>LOOKUP($C30,Cities!$A$3:$A$356,Cities!$V$3:$V$356)</f>
        <v>0</v>
      </c>
      <c r="O84" s="936" t="str">
        <f t="shared" si="5"/>
        <v/>
      </c>
      <c r="P84" s="785"/>
      <c r="Q84" s="785">
        <f t="shared" si="6"/>
        <v>0</v>
      </c>
      <c r="R84" s="171"/>
    </row>
    <row r="85" spans="1:18" ht="15" x14ac:dyDescent="0.2">
      <c r="A85" s="325">
        <f t="shared" si="7"/>
        <v>245</v>
      </c>
      <c r="B85" s="336" t="str">
        <f>IF(C85=1,"",LOOKUP(C85,Cities!A$3:A$343,Cities!C$3:C$343))</f>
        <v/>
      </c>
      <c r="C85" s="338">
        <f t="shared" si="8"/>
        <v>1</v>
      </c>
      <c r="D85" s="337">
        <f t="shared" si="8"/>
        <v>0</v>
      </c>
      <c r="E85" s="812">
        <f>ROUND('Print Return'!$L$37*'Overflow (6)'!M31,0)</f>
        <v>0</v>
      </c>
      <c r="F85" s="955"/>
      <c r="G85" s="1524"/>
      <c r="H85" s="1524"/>
      <c r="I85" s="1525">
        <f>IF(Data!D$33=TRUE,'Overflows Worksheet'!K273,'Overflows Worksheet'!T273)</f>
        <v>0</v>
      </c>
      <c r="J85" s="1525"/>
      <c r="K85" s="853">
        <f>LOOKUP(C31,Cities!A$3:A$343,Cities!D$3:D$343)</f>
        <v>0</v>
      </c>
      <c r="L85" s="1522">
        <f t="shared" si="4"/>
        <v>0</v>
      </c>
      <c r="M85" s="1523"/>
      <c r="N85" s="339">
        <f>LOOKUP($C31,Cities!$A$3:$A$356,Cities!$V$3:$V$356)</f>
        <v>0</v>
      </c>
      <c r="O85" s="936" t="str">
        <f t="shared" si="5"/>
        <v/>
      </c>
      <c r="P85" s="785"/>
      <c r="Q85" s="785">
        <f t="shared" si="6"/>
        <v>0</v>
      </c>
      <c r="R85" s="171"/>
    </row>
    <row r="86" spans="1:18" ht="15" x14ac:dyDescent="0.2">
      <c r="A86" s="325">
        <f t="shared" si="7"/>
        <v>246</v>
      </c>
      <c r="B86" s="336" t="str">
        <f>IF(C86=1,"",LOOKUP(C86,Cities!A$3:A$343,Cities!C$3:C$343))</f>
        <v/>
      </c>
      <c r="C86" s="338">
        <f t="shared" si="8"/>
        <v>1</v>
      </c>
      <c r="D86" s="337">
        <f t="shared" si="8"/>
        <v>0</v>
      </c>
      <c r="E86" s="812">
        <f>ROUND('Print Return'!$L$37*'Overflow (6)'!M32,0)</f>
        <v>0</v>
      </c>
      <c r="F86" s="955"/>
      <c r="G86" s="1524"/>
      <c r="H86" s="1524"/>
      <c r="I86" s="1525">
        <f>IF(Data!D$33=TRUE,'Overflows Worksheet'!K274,'Overflows Worksheet'!T274)</f>
        <v>0</v>
      </c>
      <c r="J86" s="1525"/>
      <c r="K86" s="853">
        <f>LOOKUP(C32,Cities!A$3:A$343,Cities!D$3:D$343)</f>
        <v>0</v>
      </c>
      <c r="L86" s="1522">
        <f t="shared" si="4"/>
        <v>0</v>
      </c>
      <c r="M86" s="1523"/>
      <c r="N86" s="339">
        <f>LOOKUP($C32,Cities!$A$3:$A$356,Cities!$V$3:$V$356)</f>
        <v>0</v>
      </c>
      <c r="O86" s="936" t="str">
        <f t="shared" si="5"/>
        <v/>
      </c>
      <c r="P86" s="785"/>
      <c r="Q86" s="785">
        <f t="shared" si="6"/>
        <v>0</v>
      </c>
      <c r="R86" s="171"/>
    </row>
    <row r="87" spans="1:18" ht="15" x14ac:dyDescent="0.2">
      <c r="A87" s="325">
        <f t="shared" si="7"/>
        <v>247</v>
      </c>
      <c r="B87" s="336" t="str">
        <f>IF(C87=1,"",LOOKUP(C87,Cities!A$3:A$343,Cities!C$3:C$343))</f>
        <v/>
      </c>
      <c r="C87" s="338">
        <f t="shared" si="8"/>
        <v>1</v>
      </c>
      <c r="D87" s="337">
        <f t="shared" si="8"/>
        <v>0</v>
      </c>
      <c r="E87" s="812">
        <f>ROUND('Print Return'!$L$37*'Overflow (6)'!M33,0)</f>
        <v>0</v>
      </c>
      <c r="F87" s="955"/>
      <c r="G87" s="1524"/>
      <c r="H87" s="1524"/>
      <c r="I87" s="1525">
        <f>IF(Data!D$33=TRUE,'Overflows Worksheet'!K275,'Overflows Worksheet'!T275)</f>
        <v>0</v>
      </c>
      <c r="J87" s="1525"/>
      <c r="K87" s="853">
        <f>LOOKUP(C33,Cities!A$3:A$343,Cities!D$3:D$343)</f>
        <v>0</v>
      </c>
      <c r="L87" s="1522">
        <f t="shared" si="4"/>
        <v>0</v>
      </c>
      <c r="M87" s="1523"/>
      <c r="N87" s="339">
        <f>LOOKUP($C33,Cities!$A$3:$A$356,Cities!$V$3:$V$356)</f>
        <v>0</v>
      </c>
      <c r="O87" s="936" t="str">
        <f t="shared" si="5"/>
        <v/>
      </c>
      <c r="P87" s="785"/>
      <c r="Q87" s="785">
        <f t="shared" si="6"/>
        <v>0</v>
      </c>
      <c r="R87" s="171"/>
    </row>
    <row r="88" spans="1:18" ht="15" x14ac:dyDescent="0.2">
      <c r="A88" s="325">
        <f t="shared" si="7"/>
        <v>248</v>
      </c>
      <c r="B88" s="336" t="str">
        <f>IF(C88=1,"",LOOKUP(C88,Cities!A$3:A$343,Cities!C$3:C$343))</f>
        <v/>
      </c>
      <c r="C88" s="338">
        <f t="shared" si="8"/>
        <v>1</v>
      </c>
      <c r="D88" s="337">
        <f t="shared" si="8"/>
        <v>0</v>
      </c>
      <c r="E88" s="812">
        <f>ROUND('Print Return'!$L$37*'Overflow (6)'!M34,0)</f>
        <v>0</v>
      </c>
      <c r="F88" s="955"/>
      <c r="G88" s="1524"/>
      <c r="H88" s="1524"/>
      <c r="I88" s="1525">
        <f>IF(Data!D$33=TRUE,'Overflows Worksheet'!K276,'Overflows Worksheet'!T276)</f>
        <v>0</v>
      </c>
      <c r="J88" s="1525"/>
      <c r="K88" s="853">
        <f>LOOKUP(C34,Cities!A$3:A$343,Cities!D$3:D$343)</f>
        <v>0</v>
      </c>
      <c r="L88" s="1522">
        <f t="shared" si="4"/>
        <v>0</v>
      </c>
      <c r="M88" s="1523"/>
      <c r="N88" s="339">
        <f>LOOKUP($C34,Cities!$A$3:$A$356,Cities!$V$3:$V$356)</f>
        <v>0</v>
      </c>
      <c r="O88" s="936" t="str">
        <f t="shared" si="5"/>
        <v/>
      </c>
      <c r="P88" s="785"/>
      <c r="Q88" s="785">
        <f t="shared" si="6"/>
        <v>0</v>
      </c>
      <c r="R88" s="171"/>
    </row>
    <row r="89" spans="1:18" ht="15" x14ac:dyDescent="0.2">
      <c r="A89" s="325">
        <f t="shared" si="7"/>
        <v>249</v>
      </c>
      <c r="B89" s="336" t="str">
        <f>IF(C89=1,"",LOOKUP(C89,Cities!A$3:A$343,Cities!C$3:C$343))</f>
        <v/>
      </c>
      <c r="C89" s="338">
        <f t="shared" si="8"/>
        <v>1</v>
      </c>
      <c r="D89" s="337">
        <f t="shared" si="8"/>
        <v>0</v>
      </c>
      <c r="E89" s="812">
        <f>ROUND('Print Return'!$L$37*'Overflow (6)'!M35,0)</f>
        <v>0</v>
      </c>
      <c r="F89" s="955"/>
      <c r="G89" s="1524"/>
      <c r="H89" s="1524"/>
      <c r="I89" s="1525">
        <f>IF(Data!D$33=TRUE,'Overflows Worksheet'!K277,'Overflows Worksheet'!T277)</f>
        <v>0</v>
      </c>
      <c r="J89" s="1525"/>
      <c r="K89" s="853">
        <f>LOOKUP(C35,Cities!A$3:A$343,Cities!D$3:D$343)</f>
        <v>0</v>
      </c>
      <c r="L89" s="1522">
        <f t="shared" si="4"/>
        <v>0</v>
      </c>
      <c r="M89" s="1523"/>
      <c r="N89" s="339">
        <f>LOOKUP($C35,Cities!$A$3:$A$356,Cities!$V$3:$V$356)</f>
        <v>0</v>
      </c>
      <c r="O89" s="936" t="str">
        <f t="shared" si="5"/>
        <v/>
      </c>
      <c r="P89" s="785"/>
      <c r="Q89" s="785">
        <f t="shared" si="6"/>
        <v>0</v>
      </c>
      <c r="R89" s="171"/>
    </row>
    <row r="90" spans="1:18" ht="15" x14ac:dyDescent="0.2">
      <c r="A90" s="325">
        <f t="shared" si="7"/>
        <v>250</v>
      </c>
      <c r="B90" s="336" t="str">
        <f>IF(C90=1,"",LOOKUP(C90,Cities!A$3:A$343,Cities!C$3:C$343))</f>
        <v/>
      </c>
      <c r="C90" s="338">
        <f t="shared" si="8"/>
        <v>1</v>
      </c>
      <c r="D90" s="337">
        <f t="shared" si="8"/>
        <v>0</v>
      </c>
      <c r="E90" s="812">
        <f>ROUND('Print Return'!$L$37*'Overflow (6)'!M36,0)</f>
        <v>0</v>
      </c>
      <c r="F90" s="955"/>
      <c r="G90" s="1524"/>
      <c r="H90" s="1524"/>
      <c r="I90" s="1525">
        <f>IF(Data!D$33=TRUE,'Overflows Worksheet'!K278,'Overflows Worksheet'!T278)</f>
        <v>0</v>
      </c>
      <c r="J90" s="1525"/>
      <c r="K90" s="853">
        <f>LOOKUP(C36,Cities!A$3:A$343,Cities!D$3:D$343)</f>
        <v>0</v>
      </c>
      <c r="L90" s="1522">
        <f t="shared" si="4"/>
        <v>0</v>
      </c>
      <c r="M90" s="1523"/>
      <c r="N90" s="339">
        <f>LOOKUP($C36,Cities!$A$3:$A$356,Cities!$V$3:$V$356)</f>
        <v>0</v>
      </c>
      <c r="O90" s="936" t="str">
        <f t="shared" si="5"/>
        <v/>
      </c>
      <c r="P90" s="785"/>
      <c r="Q90" s="785">
        <f t="shared" si="6"/>
        <v>0</v>
      </c>
      <c r="R90" s="171"/>
    </row>
    <row r="91" spans="1:18" ht="15" x14ac:dyDescent="0.2">
      <c r="A91" s="325">
        <f t="shared" si="7"/>
        <v>251</v>
      </c>
      <c r="B91" s="336" t="str">
        <f>IF(C91=1,"",LOOKUP(C91,Cities!A$3:A$343,Cities!C$3:C$343))</f>
        <v/>
      </c>
      <c r="C91" s="338">
        <f t="shared" si="8"/>
        <v>1</v>
      </c>
      <c r="D91" s="337">
        <f t="shared" si="8"/>
        <v>0</v>
      </c>
      <c r="E91" s="812">
        <f>ROUND('Print Return'!$L$37*'Overflow (6)'!M37,0)</f>
        <v>0</v>
      </c>
      <c r="F91" s="955"/>
      <c r="G91" s="1524"/>
      <c r="H91" s="1524"/>
      <c r="I91" s="1525">
        <f>IF(Data!D$33=TRUE,'Overflows Worksheet'!K279,'Overflows Worksheet'!T279)</f>
        <v>0</v>
      </c>
      <c r="J91" s="1525"/>
      <c r="K91" s="853">
        <f>LOOKUP(C37,Cities!A$3:A$343,Cities!D$3:D$343)</f>
        <v>0</v>
      </c>
      <c r="L91" s="1522">
        <f t="shared" si="4"/>
        <v>0</v>
      </c>
      <c r="M91" s="1523"/>
      <c r="N91" s="339">
        <f>LOOKUP($C37,Cities!$A$3:$A$356,Cities!$V$3:$V$356)</f>
        <v>0</v>
      </c>
      <c r="O91" s="936" t="str">
        <f t="shared" si="5"/>
        <v/>
      </c>
      <c r="P91" s="785"/>
      <c r="Q91" s="785">
        <f t="shared" si="6"/>
        <v>0</v>
      </c>
      <c r="R91" s="171"/>
    </row>
    <row r="92" spans="1:18" ht="15" x14ac:dyDescent="0.2">
      <c r="A92" s="325">
        <f t="shared" si="7"/>
        <v>252</v>
      </c>
      <c r="B92" s="336" t="str">
        <f>IF(C92=1,"",LOOKUP(C92,Cities!A$3:A$343,Cities!C$3:C$343))</f>
        <v/>
      </c>
      <c r="C92" s="338">
        <f t="shared" si="8"/>
        <v>1</v>
      </c>
      <c r="D92" s="337">
        <f t="shared" si="8"/>
        <v>0</v>
      </c>
      <c r="E92" s="812">
        <f>ROUND('Print Return'!$L$37*'Overflow (6)'!M38,0)</f>
        <v>0</v>
      </c>
      <c r="F92" s="955"/>
      <c r="G92" s="1524"/>
      <c r="H92" s="1524"/>
      <c r="I92" s="1525">
        <f>IF(Data!D$33=TRUE,'Overflows Worksheet'!K280,'Overflows Worksheet'!T280)</f>
        <v>0</v>
      </c>
      <c r="J92" s="1525"/>
      <c r="K92" s="853">
        <f>LOOKUP(C38,Cities!A$3:A$343,Cities!D$3:D$343)</f>
        <v>0</v>
      </c>
      <c r="L92" s="1522">
        <f t="shared" si="4"/>
        <v>0</v>
      </c>
      <c r="M92" s="1523"/>
      <c r="N92" s="339">
        <f>LOOKUP($C38,Cities!$A$3:$A$356,Cities!$V$3:$V$356)</f>
        <v>0</v>
      </c>
      <c r="O92" s="936" t="str">
        <f t="shared" si="5"/>
        <v/>
      </c>
      <c r="P92" s="785"/>
      <c r="Q92" s="785">
        <f t="shared" si="6"/>
        <v>0</v>
      </c>
      <c r="R92" s="171"/>
    </row>
    <row r="93" spans="1:18" ht="15" x14ac:dyDescent="0.2">
      <c r="A93" s="325">
        <f t="shared" si="7"/>
        <v>253</v>
      </c>
      <c r="B93" s="336" t="str">
        <f>IF(C93=1,"",LOOKUP(C93,Cities!A$3:A$343,Cities!C$3:C$343))</f>
        <v/>
      </c>
      <c r="C93" s="338">
        <f t="shared" si="8"/>
        <v>1</v>
      </c>
      <c r="D93" s="337">
        <f t="shared" si="8"/>
        <v>0</v>
      </c>
      <c r="E93" s="812">
        <f>ROUND('Print Return'!$L$37*'Overflow (6)'!M39,0)</f>
        <v>0</v>
      </c>
      <c r="F93" s="955"/>
      <c r="G93" s="1524"/>
      <c r="H93" s="1524"/>
      <c r="I93" s="1525">
        <f>IF(Data!D$33=TRUE,'Overflows Worksheet'!K281,'Overflows Worksheet'!T281)</f>
        <v>0</v>
      </c>
      <c r="J93" s="1525"/>
      <c r="K93" s="853">
        <f>LOOKUP(C39,Cities!A$3:A$343,Cities!D$3:D$343)</f>
        <v>0</v>
      </c>
      <c r="L93" s="1522">
        <f t="shared" si="4"/>
        <v>0</v>
      </c>
      <c r="M93" s="1523"/>
      <c r="N93" s="339">
        <f>LOOKUP($C39,Cities!$A$3:$A$356,Cities!$V$3:$V$356)</f>
        <v>0</v>
      </c>
      <c r="O93" s="936" t="str">
        <f t="shared" si="5"/>
        <v/>
      </c>
      <c r="P93" s="785"/>
      <c r="Q93" s="785">
        <f t="shared" si="6"/>
        <v>0</v>
      </c>
      <c r="R93" s="171"/>
    </row>
    <row r="94" spans="1:18" ht="15" x14ac:dyDescent="0.2">
      <c r="A94" s="325">
        <f t="shared" si="7"/>
        <v>254</v>
      </c>
      <c r="B94" s="336" t="str">
        <f>IF(C94=1,"",LOOKUP(C94,Cities!A$3:A$343,Cities!C$3:C$343))</f>
        <v/>
      </c>
      <c r="C94" s="338">
        <f t="shared" si="8"/>
        <v>1</v>
      </c>
      <c r="D94" s="337">
        <f t="shared" si="8"/>
        <v>0</v>
      </c>
      <c r="E94" s="812">
        <f>ROUND('Print Return'!$L$37*'Overflow (6)'!M40,0)</f>
        <v>0</v>
      </c>
      <c r="F94" s="955"/>
      <c r="G94" s="1524"/>
      <c r="H94" s="1524"/>
      <c r="I94" s="1525">
        <f>IF(Data!D$33=TRUE,'Overflows Worksheet'!K282,'Overflows Worksheet'!T282)</f>
        <v>0</v>
      </c>
      <c r="J94" s="1525"/>
      <c r="K94" s="853">
        <f>LOOKUP(C40,Cities!A$3:A$343,Cities!D$3:D$343)</f>
        <v>0</v>
      </c>
      <c r="L94" s="1522">
        <f t="shared" si="4"/>
        <v>0</v>
      </c>
      <c r="M94" s="1523"/>
      <c r="N94" s="339">
        <f>LOOKUP($C40,Cities!$A$3:$A$356,Cities!$V$3:$V$356)</f>
        <v>0</v>
      </c>
      <c r="O94" s="936" t="str">
        <f t="shared" si="5"/>
        <v/>
      </c>
      <c r="P94" s="785"/>
      <c r="Q94" s="785">
        <f t="shared" si="6"/>
        <v>0</v>
      </c>
      <c r="R94" s="171"/>
    </row>
    <row r="95" spans="1:18" ht="15" x14ac:dyDescent="0.2">
      <c r="A95" s="325">
        <f t="shared" si="7"/>
        <v>255</v>
      </c>
      <c r="B95" s="336" t="str">
        <f>IF(C95=1,"",LOOKUP(C95,Cities!A$3:A$343,Cities!C$3:C$343))</f>
        <v/>
      </c>
      <c r="C95" s="338">
        <f t="shared" si="8"/>
        <v>1</v>
      </c>
      <c r="D95" s="337">
        <f t="shared" si="8"/>
        <v>0</v>
      </c>
      <c r="E95" s="812">
        <f>ROUND('Print Return'!$L$37*'Overflow (6)'!M41,0)</f>
        <v>0</v>
      </c>
      <c r="F95" s="955"/>
      <c r="G95" s="1524"/>
      <c r="H95" s="1524"/>
      <c r="I95" s="1525">
        <f>IF(Data!D$33=TRUE,'Overflows Worksheet'!K283,'Overflows Worksheet'!T283)</f>
        <v>0</v>
      </c>
      <c r="J95" s="1525"/>
      <c r="K95" s="853">
        <f>LOOKUP(C41,Cities!A$3:A$343,Cities!D$3:D$343)</f>
        <v>0</v>
      </c>
      <c r="L95" s="1522">
        <f t="shared" si="4"/>
        <v>0</v>
      </c>
      <c r="M95" s="1523"/>
      <c r="N95" s="339">
        <f>LOOKUP($C41,Cities!$A$3:$A$356,Cities!$V$3:$V$356)</f>
        <v>0</v>
      </c>
      <c r="O95" s="936" t="str">
        <f t="shared" si="5"/>
        <v/>
      </c>
      <c r="P95" s="785"/>
      <c r="Q95" s="785">
        <f t="shared" si="6"/>
        <v>0</v>
      </c>
      <c r="R95" s="171"/>
    </row>
    <row r="96" spans="1:18" ht="15" x14ac:dyDescent="0.2">
      <c r="A96" s="325">
        <f t="shared" si="7"/>
        <v>256</v>
      </c>
      <c r="B96" s="336" t="str">
        <f>IF(C96=1,"",LOOKUP(C96,Cities!A$3:A$343,Cities!C$3:C$343))</f>
        <v/>
      </c>
      <c r="C96" s="338">
        <f t="shared" si="8"/>
        <v>1</v>
      </c>
      <c r="D96" s="337">
        <f t="shared" si="8"/>
        <v>0</v>
      </c>
      <c r="E96" s="812">
        <f>ROUND('Print Return'!$L$37*'Overflow (6)'!M42,0)</f>
        <v>0</v>
      </c>
      <c r="F96" s="955"/>
      <c r="G96" s="1524"/>
      <c r="H96" s="1524"/>
      <c r="I96" s="1525">
        <f>IF(Data!D$33=TRUE,'Overflows Worksheet'!K284,'Overflows Worksheet'!T284)</f>
        <v>0</v>
      </c>
      <c r="J96" s="1525"/>
      <c r="K96" s="853">
        <f>LOOKUP(C42,Cities!A$3:A$343,Cities!D$3:D$343)</f>
        <v>0</v>
      </c>
      <c r="L96" s="1522">
        <f t="shared" si="4"/>
        <v>0</v>
      </c>
      <c r="M96" s="1523"/>
      <c r="N96" s="339">
        <f>LOOKUP($C42,Cities!$A$3:$A$356,Cities!$V$3:$V$356)</f>
        <v>0</v>
      </c>
      <c r="O96" s="936" t="str">
        <f t="shared" si="5"/>
        <v/>
      </c>
      <c r="P96" s="785"/>
      <c r="Q96" s="785">
        <f t="shared" si="6"/>
        <v>0</v>
      </c>
      <c r="R96" s="171"/>
    </row>
    <row r="97" spans="1:18" ht="15" x14ac:dyDescent="0.2">
      <c r="A97" s="325">
        <f t="shared" si="7"/>
        <v>257</v>
      </c>
      <c r="B97" s="336" t="str">
        <f>IF(C97=1,"",LOOKUP(C97,Cities!A$3:A$343,Cities!C$3:C$343))</f>
        <v/>
      </c>
      <c r="C97" s="338">
        <f t="shared" si="8"/>
        <v>1</v>
      </c>
      <c r="D97" s="337">
        <f t="shared" si="8"/>
        <v>0</v>
      </c>
      <c r="E97" s="812">
        <f>ROUND('Print Return'!$L$37*'Overflow (6)'!M43,0)</f>
        <v>0</v>
      </c>
      <c r="F97" s="955"/>
      <c r="G97" s="1524"/>
      <c r="H97" s="1524"/>
      <c r="I97" s="1525">
        <f>IF(Data!D$33=TRUE,'Overflows Worksheet'!K285,'Overflows Worksheet'!T285)</f>
        <v>0</v>
      </c>
      <c r="J97" s="1525"/>
      <c r="K97" s="853">
        <f>LOOKUP(C43,Cities!A$3:A$343,Cities!D$3:D$343)</f>
        <v>0</v>
      </c>
      <c r="L97" s="1522">
        <f t="shared" si="4"/>
        <v>0</v>
      </c>
      <c r="M97" s="1523"/>
      <c r="N97" s="339">
        <f>LOOKUP($C43,Cities!$A$3:$A$356,Cities!$V$3:$V$356)</f>
        <v>0</v>
      </c>
      <c r="O97" s="936" t="str">
        <f t="shared" si="5"/>
        <v/>
      </c>
      <c r="P97" s="785"/>
      <c r="Q97" s="785">
        <f t="shared" si="6"/>
        <v>0</v>
      </c>
      <c r="R97" s="171"/>
    </row>
    <row r="98" spans="1:18" ht="15" x14ac:dyDescent="0.2">
      <c r="A98" s="325">
        <f t="shared" si="7"/>
        <v>258</v>
      </c>
      <c r="B98" s="336" t="str">
        <f>IF(C98=1,"",LOOKUP(C98,Cities!A$3:A$343,Cities!C$3:C$343))</f>
        <v/>
      </c>
      <c r="C98" s="338">
        <f t="shared" ref="C98:D110" si="9">+C44</f>
        <v>1</v>
      </c>
      <c r="D98" s="337">
        <f t="shared" si="9"/>
        <v>0</v>
      </c>
      <c r="E98" s="812">
        <f>ROUND('Print Return'!$L$37*'Overflow (6)'!M44,0)</f>
        <v>0</v>
      </c>
      <c r="F98" s="955"/>
      <c r="G98" s="1524"/>
      <c r="H98" s="1524"/>
      <c r="I98" s="1525">
        <f>IF(Data!D$33=TRUE,'Overflows Worksheet'!K286,'Overflows Worksheet'!T286)</f>
        <v>0</v>
      </c>
      <c r="J98" s="1525"/>
      <c r="K98" s="853">
        <f>LOOKUP(C44,Cities!A$3:A$343,Cities!D$3:D$343)</f>
        <v>0</v>
      </c>
      <c r="L98" s="1522">
        <f t="shared" si="4"/>
        <v>0</v>
      </c>
      <c r="M98" s="1523"/>
      <c r="N98" s="339">
        <f>LOOKUP($C44,Cities!$A$3:$A$356,Cities!$V$3:$V$356)</f>
        <v>0</v>
      </c>
      <c r="O98" s="936" t="str">
        <f t="shared" si="5"/>
        <v/>
      </c>
      <c r="P98" s="785"/>
      <c r="Q98" s="785">
        <f t="shared" si="6"/>
        <v>0</v>
      </c>
      <c r="R98" s="171"/>
    </row>
    <row r="99" spans="1:18" ht="15" x14ac:dyDescent="0.2">
      <c r="A99" s="325">
        <f t="shared" si="7"/>
        <v>259</v>
      </c>
      <c r="B99" s="336" t="str">
        <f>IF(C99=1,"",LOOKUP(C99,Cities!A$3:A$343,Cities!C$3:C$343))</f>
        <v/>
      </c>
      <c r="C99" s="338">
        <f t="shared" si="9"/>
        <v>1</v>
      </c>
      <c r="D99" s="337">
        <f t="shared" si="9"/>
        <v>0</v>
      </c>
      <c r="E99" s="812">
        <f>ROUND('Print Return'!$L$37*'Overflow (6)'!M45,0)</f>
        <v>0</v>
      </c>
      <c r="F99" s="955"/>
      <c r="G99" s="1524"/>
      <c r="H99" s="1524"/>
      <c r="I99" s="1525">
        <f>IF(Data!D$33=TRUE,'Overflows Worksheet'!K287,'Overflows Worksheet'!T287)</f>
        <v>0</v>
      </c>
      <c r="J99" s="1525"/>
      <c r="K99" s="853">
        <f>LOOKUP(C45,Cities!A$3:A$343,Cities!D$3:D$343)</f>
        <v>0</v>
      </c>
      <c r="L99" s="1522">
        <f t="shared" si="4"/>
        <v>0</v>
      </c>
      <c r="M99" s="1523"/>
      <c r="N99" s="339">
        <f>LOOKUP($C45,Cities!$A$3:$A$356,Cities!$V$3:$V$356)</f>
        <v>0</v>
      </c>
      <c r="O99" s="936" t="str">
        <f t="shared" si="5"/>
        <v/>
      </c>
      <c r="P99" s="785"/>
      <c r="Q99" s="785">
        <f t="shared" si="6"/>
        <v>0</v>
      </c>
      <c r="R99" s="171"/>
    </row>
    <row r="100" spans="1:18" ht="15" x14ac:dyDescent="0.2">
      <c r="A100" s="325">
        <f t="shared" si="7"/>
        <v>260</v>
      </c>
      <c r="B100" s="336" t="str">
        <f>IF(C100=1,"",LOOKUP(C100,Cities!A$3:A$343,Cities!C$3:C$343))</f>
        <v/>
      </c>
      <c r="C100" s="338">
        <f t="shared" si="9"/>
        <v>1</v>
      </c>
      <c r="D100" s="337">
        <f t="shared" si="9"/>
        <v>0</v>
      </c>
      <c r="E100" s="812">
        <f>ROUND('Print Return'!$L$37*'Overflow (6)'!M46,0)</f>
        <v>0</v>
      </c>
      <c r="F100" s="955"/>
      <c r="G100" s="1524"/>
      <c r="H100" s="1524"/>
      <c r="I100" s="1525">
        <f>IF(Data!D$33=TRUE,'Overflows Worksheet'!K288,'Overflows Worksheet'!T288)</f>
        <v>0</v>
      </c>
      <c r="J100" s="1525"/>
      <c r="K100" s="853">
        <f>LOOKUP(C46,Cities!A$3:A$343,Cities!D$3:D$343)</f>
        <v>0</v>
      </c>
      <c r="L100" s="1522">
        <f t="shared" si="4"/>
        <v>0</v>
      </c>
      <c r="M100" s="1523"/>
      <c r="N100" s="339">
        <f>LOOKUP($C46,Cities!$A$3:$A$356,Cities!$V$3:$V$356)</f>
        <v>0</v>
      </c>
      <c r="O100" s="936" t="str">
        <f t="shared" si="5"/>
        <v/>
      </c>
      <c r="P100" s="785"/>
      <c r="Q100" s="785">
        <f t="shared" si="6"/>
        <v>0</v>
      </c>
      <c r="R100" s="171"/>
    </row>
    <row r="101" spans="1:18" ht="15" x14ac:dyDescent="0.2">
      <c r="A101" s="325">
        <f t="shared" si="7"/>
        <v>261</v>
      </c>
      <c r="B101" s="336" t="str">
        <f>IF(C101=1,"",LOOKUP(C101,Cities!A$3:A$343,Cities!C$3:C$343))</f>
        <v/>
      </c>
      <c r="C101" s="338">
        <f t="shared" si="9"/>
        <v>1</v>
      </c>
      <c r="D101" s="337">
        <f t="shared" si="9"/>
        <v>0</v>
      </c>
      <c r="E101" s="812">
        <f>ROUND('Print Return'!$L$37*'Overflow (6)'!M47,0)</f>
        <v>0</v>
      </c>
      <c r="F101" s="955"/>
      <c r="G101" s="1524"/>
      <c r="H101" s="1524"/>
      <c r="I101" s="1525">
        <f>IF(Data!D$33=TRUE,'Overflows Worksheet'!K289,'Overflows Worksheet'!T289)</f>
        <v>0</v>
      </c>
      <c r="J101" s="1525"/>
      <c r="K101" s="853">
        <f>LOOKUP(C47,Cities!A$3:A$343,Cities!D$3:D$343)</f>
        <v>0</v>
      </c>
      <c r="L101" s="1522">
        <f t="shared" si="4"/>
        <v>0</v>
      </c>
      <c r="M101" s="1523"/>
      <c r="N101" s="339">
        <f>LOOKUP($C47,Cities!$A$3:$A$356,Cities!$V$3:$V$356)</f>
        <v>0</v>
      </c>
      <c r="O101" s="936" t="str">
        <f t="shared" si="5"/>
        <v/>
      </c>
      <c r="P101" s="785"/>
      <c r="Q101" s="785">
        <f t="shared" si="6"/>
        <v>0</v>
      </c>
      <c r="R101" s="171"/>
    </row>
    <row r="102" spans="1:18" ht="15" x14ac:dyDescent="0.2">
      <c r="A102" s="325">
        <f t="shared" si="7"/>
        <v>262</v>
      </c>
      <c r="B102" s="336" t="str">
        <f>IF(C102=1,"",LOOKUP(C102,Cities!A$3:A$343,Cities!C$3:C$343))</f>
        <v/>
      </c>
      <c r="C102" s="338">
        <f t="shared" si="9"/>
        <v>1</v>
      </c>
      <c r="D102" s="337">
        <f t="shared" si="9"/>
        <v>0</v>
      </c>
      <c r="E102" s="812">
        <f>ROUND('Print Return'!$L$37*'Overflow (6)'!M48,0)</f>
        <v>0</v>
      </c>
      <c r="F102" s="955"/>
      <c r="G102" s="1524"/>
      <c r="H102" s="1524"/>
      <c r="I102" s="1525">
        <f>IF(Data!D$33=TRUE,'Overflows Worksheet'!K290,'Overflows Worksheet'!T290)</f>
        <v>0</v>
      </c>
      <c r="J102" s="1525"/>
      <c r="K102" s="853">
        <f>LOOKUP(C48,Cities!A$3:A$343,Cities!D$3:D$343)</f>
        <v>0</v>
      </c>
      <c r="L102" s="1522">
        <f t="shared" si="4"/>
        <v>0</v>
      </c>
      <c r="M102" s="1523"/>
      <c r="N102" s="339">
        <f>LOOKUP($C48,Cities!$A$3:$A$356,Cities!$V$3:$V$356)</f>
        <v>0</v>
      </c>
      <c r="O102" s="936" t="str">
        <f t="shared" si="5"/>
        <v/>
      </c>
      <c r="P102" s="785"/>
      <c r="Q102" s="785">
        <f t="shared" si="6"/>
        <v>0</v>
      </c>
      <c r="R102" s="171"/>
    </row>
    <row r="103" spans="1:18" ht="15" x14ac:dyDescent="0.2">
      <c r="A103" s="325">
        <f t="shared" si="7"/>
        <v>263</v>
      </c>
      <c r="B103" s="336" t="str">
        <f>IF(C103=1,"",LOOKUP(C103,Cities!A$3:A$343,Cities!C$3:C$343))</f>
        <v/>
      </c>
      <c r="C103" s="338">
        <f t="shared" si="9"/>
        <v>1</v>
      </c>
      <c r="D103" s="337">
        <f t="shared" si="9"/>
        <v>0</v>
      </c>
      <c r="E103" s="812">
        <f>ROUND('Print Return'!$L$37*'Overflow (6)'!M49,0)</f>
        <v>0</v>
      </c>
      <c r="F103" s="955"/>
      <c r="G103" s="1524"/>
      <c r="H103" s="1524"/>
      <c r="I103" s="1525">
        <f>IF(Data!D$33=TRUE,'Overflows Worksheet'!K291,'Overflows Worksheet'!T291)</f>
        <v>0</v>
      </c>
      <c r="J103" s="1525"/>
      <c r="K103" s="853">
        <f>LOOKUP(C49,Cities!A$3:A$343,Cities!D$3:D$343)</f>
        <v>0</v>
      </c>
      <c r="L103" s="1522">
        <f t="shared" si="4"/>
        <v>0</v>
      </c>
      <c r="M103" s="1523"/>
      <c r="N103" s="339">
        <f>LOOKUP($C49,Cities!$A$3:$A$356,Cities!$V$3:$V$356)</f>
        <v>0</v>
      </c>
      <c r="O103" s="936" t="str">
        <f t="shared" si="5"/>
        <v/>
      </c>
      <c r="P103" s="785"/>
      <c r="Q103" s="785">
        <f t="shared" si="6"/>
        <v>0</v>
      </c>
      <c r="R103" s="171"/>
    </row>
    <row r="104" spans="1:18" ht="15" x14ac:dyDescent="0.2">
      <c r="A104" s="325">
        <f t="shared" si="7"/>
        <v>264</v>
      </c>
      <c r="B104" s="336" t="str">
        <f>IF(C104=1,"",LOOKUP(C104,Cities!A$3:A$343,Cities!C$3:C$343))</f>
        <v/>
      </c>
      <c r="C104" s="338">
        <f t="shared" si="9"/>
        <v>1</v>
      </c>
      <c r="D104" s="337">
        <f t="shared" si="9"/>
        <v>0</v>
      </c>
      <c r="E104" s="812">
        <f>ROUND('Print Return'!$L$37*'Overflow (6)'!M50,0)</f>
        <v>0</v>
      </c>
      <c r="F104" s="955"/>
      <c r="G104" s="1524"/>
      <c r="H104" s="1524"/>
      <c r="I104" s="1525">
        <f>IF(Data!D$33=TRUE,'Overflows Worksheet'!K292,'Overflows Worksheet'!T292)</f>
        <v>0</v>
      </c>
      <c r="J104" s="1525"/>
      <c r="K104" s="853">
        <f>LOOKUP(C50,Cities!A$3:A$343,Cities!D$3:D$343)</f>
        <v>0</v>
      </c>
      <c r="L104" s="1522">
        <f t="shared" si="4"/>
        <v>0</v>
      </c>
      <c r="M104" s="1523"/>
      <c r="N104" s="339">
        <f>LOOKUP($C50,Cities!$A$3:$A$356,Cities!$V$3:$V$356)</f>
        <v>0</v>
      </c>
      <c r="O104" s="936" t="str">
        <f t="shared" si="5"/>
        <v/>
      </c>
      <c r="P104" s="785"/>
      <c r="Q104" s="785">
        <f t="shared" si="6"/>
        <v>0</v>
      </c>
      <c r="R104" s="171"/>
    </row>
    <row r="105" spans="1:18" ht="15" x14ac:dyDescent="0.2">
      <c r="A105" s="325">
        <f t="shared" si="7"/>
        <v>265</v>
      </c>
      <c r="B105" s="336" t="str">
        <f>IF(C105=1,"",LOOKUP(C105,Cities!A$3:A$343,Cities!C$3:C$343))</f>
        <v/>
      </c>
      <c r="C105" s="338">
        <f t="shared" si="9"/>
        <v>1</v>
      </c>
      <c r="D105" s="337">
        <f t="shared" si="9"/>
        <v>0</v>
      </c>
      <c r="E105" s="812">
        <f>ROUND('Print Return'!$L$37*'Overflow (6)'!M51,0)</f>
        <v>0</v>
      </c>
      <c r="F105" s="955"/>
      <c r="G105" s="1524"/>
      <c r="H105" s="1524"/>
      <c r="I105" s="1525">
        <f>IF(Data!D$33=TRUE,'Overflows Worksheet'!K293,'Overflows Worksheet'!T293)</f>
        <v>0</v>
      </c>
      <c r="J105" s="1525"/>
      <c r="K105" s="853">
        <f>LOOKUP(C51,Cities!A$3:A$343,Cities!D$3:D$343)</f>
        <v>0</v>
      </c>
      <c r="L105" s="1522">
        <f t="shared" si="4"/>
        <v>0</v>
      </c>
      <c r="M105" s="1523"/>
      <c r="N105" s="339">
        <f>LOOKUP($C51,Cities!$A$3:$A$356,Cities!$V$3:$V$356)</f>
        <v>0</v>
      </c>
      <c r="O105" s="936" t="str">
        <f t="shared" si="5"/>
        <v/>
      </c>
      <c r="P105" s="785"/>
      <c r="Q105" s="785">
        <f t="shared" si="6"/>
        <v>0</v>
      </c>
      <c r="R105" s="171"/>
    </row>
    <row r="106" spans="1:18" ht="15" x14ac:dyDescent="0.2">
      <c r="A106" s="325">
        <f t="shared" si="7"/>
        <v>266</v>
      </c>
      <c r="B106" s="336" t="str">
        <f>IF(C106=1,"",LOOKUP(C106,Cities!A$3:A$343,Cities!C$3:C$343))</f>
        <v/>
      </c>
      <c r="C106" s="338">
        <f t="shared" si="9"/>
        <v>1</v>
      </c>
      <c r="D106" s="337">
        <f t="shared" si="9"/>
        <v>0</v>
      </c>
      <c r="E106" s="812">
        <f>ROUND('Print Return'!$L$37*'Overflow (6)'!M52,0)</f>
        <v>0</v>
      </c>
      <c r="F106" s="955"/>
      <c r="G106" s="1524"/>
      <c r="H106" s="1524"/>
      <c r="I106" s="1525">
        <f>IF(Data!D$33=TRUE,'Overflows Worksheet'!K294,'Overflows Worksheet'!T294)</f>
        <v>0</v>
      </c>
      <c r="J106" s="1525"/>
      <c r="K106" s="853">
        <f>LOOKUP(C52,Cities!A$3:A$343,Cities!D$3:D$343)</f>
        <v>0</v>
      </c>
      <c r="L106" s="1522">
        <f t="shared" si="4"/>
        <v>0</v>
      </c>
      <c r="M106" s="1523"/>
      <c r="N106" s="339">
        <f>LOOKUP($C52,Cities!$A$3:$A$356,Cities!$V$3:$V$356)</f>
        <v>0</v>
      </c>
      <c r="O106" s="936" t="str">
        <f t="shared" si="5"/>
        <v/>
      </c>
      <c r="P106" s="785"/>
      <c r="Q106" s="785">
        <f t="shared" si="6"/>
        <v>0</v>
      </c>
      <c r="R106" s="171"/>
    </row>
    <row r="107" spans="1:18" ht="15" x14ac:dyDescent="0.2">
      <c r="A107" s="325">
        <f t="shared" si="7"/>
        <v>267</v>
      </c>
      <c r="B107" s="336" t="str">
        <f>IF(C107=1,"",LOOKUP(C107,Cities!A$3:A$343,Cities!C$3:C$343))</f>
        <v/>
      </c>
      <c r="C107" s="338">
        <f t="shared" si="9"/>
        <v>1</v>
      </c>
      <c r="D107" s="337">
        <f t="shared" si="9"/>
        <v>0</v>
      </c>
      <c r="E107" s="812">
        <f>ROUND('Print Return'!$L$37*'Overflow (6)'!M53,0)</f>
        <v>0</v>
      </c>
      <c r="F107" s="955"/>
      <c r="G107" s="1524"/>
      <c r="H107" s="1524"/>
      <c r="I107" s="1525">
        <f>IF(Data!D$33=TRUE,'Overflows Worksheet'!K295,'Overflows Worksheet'!T295)</f>
        <v>0</v>
      </c>
      <c r="J107" s="1525"/>
      <c r="K107" s="853">
        <f>LOOKUP(C53,Cities!A$3:A$343,Cities!D$3:D$343)</f>
        <v>0</v>
      </c>
      <c r="L107" s="1522">
        <f t="shared" si="4"/>
        <v>0</v>
      </c>
      <c r="M107" s="1523"/>
      <c r="N107" s="339">
        <f>LOOKUP($C53,Cities!$A$3:$A$356,Cities!$V$3:$V$356)</f>
        <v>0</v>
      </c>
      <c r="O107" s="936" t="str">
        <f t="shared" si="5"/>
        <v/>
      </c>
      <c r="P107" s="785"/>
      <c r="Q107" s="785">
        <f t="shared" si="6"/>
        <v>0</v>
      </c>
      <c r="R107" s="171"/>
    </row>
    <row r="108" spans="1:18" ht="15" x14ac:dyDescent="0.2">
      <c r="A108" s="325">
        <f t="shared" si="7"/>
        <v>268</v>
      </c>
      <c r="B108" s="336" t="str">
        <f>IF(C108=1,"",LOOKUP(C108,Cities!A$3:A$343,Cities!C$3:C$343))</f>
        <v/>
      </c>
      <c r="C108" s="338">
        <f t="shared" si="9"/>
        <v>1</v>
      </c>
      <c r="D108" s="337">
        <f t="shared" si="9"/>
        <v>0</v>
      </c>
      <c r="E108" s="812">
        <f>ROUND('Print Return'!$L$37*'Overflow (6)'!M54,0)</f>
        <v>0</v>
      </c>
      <c r="F108" s="955"/>
      <c r="G108" s="1524"/>
      <c r="H108" s="1524"/>
      <c r="I108" s="1525">
        <f>IF(Data!D$33=TRUE,'Overflows Worksheet'!K296,'Overflows Worksheet'!T296)</f>
        <v>0</v>
      </c>
      <c r="J108" s="1525"/>
      <c r="K108" s="853">
        <f>LOOKUP(C54,Cities!A$3:A$343,Cities!D$3:D$343)</f>
        <v>0</v>
      </c>
      <c r="L108" s="1522">
        <f t="shared" si="4"/>
        <v>0</v>
      </c>
      <c r="M108" s="1523"/>
      <c r="N108" s="339">
        <f>LOOKUP($C54,Cities!$A$3:$A$356,Cities!$V$3:$V$356)</f>
        <v>0</v>
      </c>
      <c r="O108" s="936" t="str">
        <f t="shared" si="5"/>
        <v/>
      </c>
      <c r="P108" s="785"/>
      <c r="Q108" s="785">
        <f t="shared" si="6"/>
        <v>0</v>
      </c>
      <c r="R108" s="171"/>
    </row>
    <row r="109" spans="1:18" ht="15" x14ac:dyDescent="0.2">
      <c r="A109" s="325">
        <f t="shared" si="7"/>
        <v>269</v>
      </c>
      <c r="B109" s="336" t="str">
        <f>IF(C109=1,"",LOOKUP(C109,Cities!A$3:A$343,Cities!C$3:C$343))</f>
        <v/>
      </c>
      <c r="C109" s="338">
        <f t="shared" si="9"/>
        <v>1</v>
      </c>
      <c r="D109" s="337">
        <f t="shared" si="9"/>
        <v>0</v>
      </c>
      <c r="E109" s="812">
        <f>ROUND('Print Return'!$L$37*'Overflow (6)'!M55,0)</f>
        <v>0</v>
      </c>
      <c r="F109" s="955"/>
      <c r="G109" s="1524"/>
      <c r="H109" s="1524"/>
      <c r="I109" s="1525">
        <f>IF(Data!D$33=TRUE,'Overflows Worksheet'!K297,'Overflows Worksheet'!T297)</f>
        <v>0</v>
      </c>
      <c r="J109" s="1525"/>
      <c r="K109" s="853">
        <f>LOOKUP(C55,Cities!A$3:A$343,Cities!D$3:D$343)</f>
        <v>0</v>
      </c>
      <c r="L109" s="1522">
        <f t="shared" si="4"/>
        <v>0</v>
      </c>
      <c r="M109" s="1523"/>
      <c r="N109" s="339">
        <f>LOOKUP($C55,Cities!$A$3:$A$356,Cities!$V$3:$V$356)</f>
        <v>0</v>
      </c>
      <c r="O109" s="936" t="str">
        <f t="shared" si="5"/>
        <v/>
      </c>
      <c r="P109" s="785"/>
      <c r="Q109" s="785">
        <f t="shared" si="6"/>
        <v>0</v>
      </c>
      <c r="R109" s="171"/>
    </row>
    <row r="110" spans="1:18" ht="15.75" thickBot="1" x14ac:dyDescent="0.25">
      <c r="A110" s="325">
        <f t="shared" si="7"/>
        <v>270</v>
      </c>
      <c r="B110" s="336" t="str">
        <f>IF(C110=1,"",LOOKUP(C110,Cities!A$3:A$343,Cities!C$3:C$343))</f>
        <v/>
      </c>
      <c r="C110" s="338">
        <f t="shared" si="9"/>
        <v>1</v>
      </c>
      <c r="D110" s="337">
        <f t="shared" si="9"/>
        <v>0</v>
      </c>
      <c r="E110" s="814">
        <f>ROUND('Print Return'!$L$37*'Overflow (6)'!M56,0)</f>
        <v>0</v>
      </c>
      <c r="F110" s="956"/>
      <c r="G110" s="1564"/>
      <c r="H110" s="1564"/>
      <c r="I110" s="1525">
        <f>IF(Data!D$33=TRUE,'Overflows Worksheet'!K298,'Overflows Worksheet'!T298)</f>
        <v>0</v>
      </c>
      <c r="J110" s="1525"/>
      <c r="K110" s="854">
        <f>LOOKUP(C56,Cities!A$3:A$343,Cities!D$3:D$343)</f>
        <v>0</v>
      </c>
      <c r="L110" s="1562">
        <f t="shared" si="4"/>
        <v>0</v>
      </c>
      <c r="M110" s="1563"/>
      <c r="N110" s="339">
        <f>LOOKUP($C56,Cities!$A$3:$A$356,Cities!$V$3:$V$356)</f>
        <v>0</v>
      </c>
      <c r="O110" s="936" t="str">
        <f t="shared" si="5"/>
        <v/>
      </c>
      <c r="P110" s="785"/>
      <c r="Q110" s="785">
        <f t="shared" si="6"/>
        <v>0</v>
      </c>
      <c r="R110" s="171"/>
    </row>
    <row r="111" spans="1:18" ht="15" x14ac:dyDescent="0.2">
      <c r="B111" s="6" t="s">
        <v>1791</v>
      </c>
      <c r="C111" s="6"/>
      <c r="D111" s="6"/>
      <c r="E111" s="813">
        <f>SUM(E66:E110)</f>
        <v>0</v>
      </c>
      <c r="F111" s="958">
        <f>SUM(F66:F110)</f>
        <v>0</v>
      </c>
      <c r="G111" s="1561">
        <f>SUM(G66:G110)</f>
        <v>0</v>
      </c>
      <c r="H111" s="1561"/>
      <c r="I111" s="1566">
        <f>SUM(I66:I110)</f>
        <v>0</v>
      </c>
      <c r="J111" s="1566"/>
      <c r="K111" s="855"/>
      <c r="L111" s="1561">
        <f>SUM(L66:L110)</f>
        <v>0</v>
      </c>
      <c r="M111" s="1561"/>
      <c r="O111" s="786"/>
      <c r="P111" s="171"/>
      <c r="Q111" s="785">
        <f>SUM(Q66:Q110)</f>
        <v>0</v>
      </c>
      <c r="R111" s="171"/>
    </row>
    <row r="112" spans="1:18" s="6" customFormat="1" ht="15" x14ac:dyDescent="0.2">
      <c r="O112" s="850"/>
      <c r="P112" s="602"/>
      <c r="Q112" s="602"/>
      <c r="R112" s="602"/>
    </row>
  </sheetData>
  <sheetProtection algorithmName="SHA-512" hashValue="t6qrCQKbAJXdkS6t9qN5IGI+nCCFuDk9gw/v3B+YJIPrEPFnWBm6SqZjqpKgVINtg0mqiUiXSd/fnoLbRjQXVA==" saltValue="WvDgBaspTHiBWCweRNl8FQ==" spinCount="100000" sheet="1" objects="1" scenarios="1"/>
  <mergeCells count="171">
    <mergeCell ref="G110:H110"/>
    <mergeCell ref="I110:J110"/>
    <mergeCell ref="L110:M110"/>
    <mergeCell ref="G111:H111"/>
    <mergeCell ref="I111:J111"/>
    <mergeCell ref="L111:M111"/>
    <mergeCell ref="G108:H108"/>
    <mergeCell ref="I108:J108"/>
    <mergeCell ref="L108:M108"/>
    <mergeCell ref="G109:H109"/>
    <mergeCell ref="I109:J109"/>
    <mergeCell ref="L109:M109"/>
    <mergeCell ref="G106:H106"/>
    <mergeCell ref="I106:J106"/>
    <mergeCell ref="L106:M106"/>
    <mergeCell ref="G107:H107"/>
    <mergeCell ref="I107:J107"/>
    <mergeCell ref="L107:M107"/>
    <mergeCell ref="G104:H104"/>
    <mergeCell ref="I104:J104"/>
    <mergeCell ref="L104:M104"/>
    <mergeCell ref="G105:H105"/>
    <mergeCell ref="I105:J105"/>
    <mergeCell ref="L105:M105"/>
    <mergeCell ref="G102:H102"/>
    <mergeCell ref="I102:J102"/>
    <mergeCell ref="L102:M102"/>
    <mergeCell ref="G103:H103"/>
    <mergeCell ref="I103:J103"/>
    <mergeCell ref="L103:M103"/>
    <mergeCell ref="G100:H100"/>
    <mergeCell ref="I100:J100"/>
    <mergeCell ref="L100:M100"/>
    <mergeCell ref="G101:H101"/>
    <mergeCell ref="I101:J101"/>
    <mergeCell ref="L101:M101"/>
    <mergeCell ref="G98:H98"/>
    <mergeCell ref="I98:J98"/>
    <mergeCell ref="L98:M98"/>
    <mergeCell ref="G99:H99"/>
    <mergeCell ref="I99:J99"/>
    <mergeCell ref="L99:M99"/>
    <mergeCell ref="G96:H96"/>
    <mergeCell ref="I96:J96"/>
    <mergeCell ref="L96:M96"/>
    <mergeCell ref="G97:H97"/>
    <mergeCell ref="I97:J97"/>
    <mergeCell ref="L97:M97"/>
    <mergeCell ref="G94:H94"/>
    <mergeCell ref="I94:J94"/>
    <mergeCell ref="L94:M94"/>
    <mergeCell ref="G95:H95"/>
    <mergeCell ref="I95:J95"/>
    <mergeCell ref="L95:M95"/>
    <mergeCell ref="G92:H92"/>
    <mergeCell ref="I92:J92"/>
    <mergeCell ref="L92:M92"/>
    <mergeCell ref="G93:H93"/>
    <mergeCell ref="I93:J93"/>
    <mergeCell ref="L93:M93"/>
    <mergeCell ref="G90:H90"/>
    <mergeCell ref="I90:J90"/>
    <mergeCell ref="L90:M90"/>
    <mergeCell ref="G91:H91"/>
    <mergeCell ref="I91:J91"/>
    <mergeCell ref="L91:M91"/>
    <mergeCell ref="G88:H88"/>
    <mergeCell ref="I88:J88"/>
    <mergeCell ref="L88:M88"/>
    <mergeCell ref="G89:H89"/>
    <mergeCell ref="I89:J89"/>
    <mergeCell ref="L89:M89"/>
    <mergeCell ref="G86:H86"/>
    <mergeCell ref="I86:J86"/>
    <mergeCell ref="L86:M86"/>
    <mergeCell ref="G87:H87"/>
    <mergeCell ref="I87:J87"/>
    <mergeCell ref="L87:M87"/>
    <mergeCell ref="G84:H84"/>
    <mergeCell ref="I84:J84"/>
    <mergeCell ref="L84:M84"/>
    <mergeCell ref="G85:H85"/>
    <mergeCell ref="I85:J85"/>
    <mergeCell ref="L85:M85"/>
    <mergeCell ref="G82:H82"/>
    <mergeCell ref="I82:J82"/>
    <mergeCell ref="L82:M82"/>
    <mergeCell ref="G83:H83"/>
    <mergeCell ref="I83:J83"/>
    <mergeCell ref="L83:M83"/>
    <mergeCell ref="G80:H80"/>
    <mergeCell ref="I80:J80"/>
    <mergeCell ref="L80:M80"/>
    <mergeCell ref="G81:H81"/>
    <mergeCell ref="I81:J81"/>
    <mergeCell ref="L81:M81"/>
    <mergeCell ref="G78:H78"/>
    <mergeCell ref="I78:J78"/>
    <mergeCell ref="L78:M78"/>
    <mergeCell ref="G79:H79"/>
    <mergeCell ref="I79:J79"/>
    <mergeCell ref="L79:M79"/>
    <mergeCell ref="G76:H76"/>
    <mergeCell ref="I76:J76"/>
    <mergeCell ref="L76:M76"/>
    <mergeCell ref="G77:H77"/>
    <mergeCell ref="I77:J77"/>
    <mergeCell ref="L77:M77"/>
    <mergeCell ref="G74:H74"/>
    <mergeCell ref="I74:J74"/>
    <mergeCell ref="L74:M74"/>
    <mergeCell ref="G75:H75"/>
    <mergeCell ref="I75:J75"/>
    <mergeCell ref="L75:M75"/>
    <mergeCell ref="G72:H72"/>
    <mergeCell ref="I72:J72"/>
    <mergeCell ref="L72:M72"/>
    <mergeCell ref="G73:H73"/>
    <mergeCell ref="I73:J73"/>
    <mergeCell ref="L73:M73"/>
    <mergeCell ref="G70:H70"/>
    <mergeCell ref="I70:J70"/>
    <mergeCell ref="L70:M70"/>
    <mergeCell ref="G71:H71"/>
    <mergeCell ref="I71:J71"/>
    <mergeCell ref="L71:M71"/>
    <mergeCell ref="G68:H68"/>
    <mergeCell ref="I68:J68"/>
    <mergeCell ref="L68:M68"/>
    <mergeCell ref="G69:H69"/>
    <mergeCell ref="I69:J69"/>
    <mergeCell ref="L69:M69"/>
    <mergeCell ref="O64:O65"/>
    <mergeCell ref="L65:M65"/>
    <mergeCell ref="G66:H66"/>
    <mergeCell ref="I66:J66"/>
    <mergeCell ref="L66:M66"/>
    <mergeCell ref="G67:H67"/>
    <mergeCell ref="I67:J67"/>
    <mergeCell ref="L67:M67"/>
    <mergeCell ref="B62:J62"/>
    <mergeCell ref="K62:M62"/>
    <mergeCell ref="D64:D65"/>
    <mergeCell ref="E64:E65"/>
    <mergeCell ref="F64:F65"/>
    <mergeCell ref="G64:H65"/>
    <mergeCell ref="I64:J65"/>
    <mergeCell ref="L64:M64"/>
    <mergeCell ref="D10:D11"/>
    <mergeCell ref="E10:H10"/>
    <mergeCell ref="I10:J10"/>
    <mergeCell ref="K10:L10"/>
    <mergeCell ref="K58:K59"/>
    <mergeCell ref="A59:B59"/>
    <mergeCell ref="D59:J60"/>
    <mergeCell ref="L59:M59"/>
    <mergeCell ref="A60:B60"/>
    <mergeCell ref="L60:M60"/>
    <mergeCell ref="B6:B8"/>
    <mergeCell ref="E6:F6"/>
    <mergeCell ref="I6:J6"/>
    <mergeCell ref="E7:F7"/>
    <mergeCell ref="E8:F8"/>
    <mergeCell ref="I8:J8"/>
    <mergeCell ref="A1:B1"/>
    <mergeCell ref="D1:K2"/>
    <mergeCell ref="L1:M1"/>
    <mergeCell ref="A2:B2"/>
    <mergeCell ref="L2:M2"/>
    <mergeCell ref="B4:J4"/>
    <mergeCell ref="K4:M4"/>
  </mergeCells>
  <conditionalFormatting sqref="G66:H110">
    <cfRule type="expression" dxfId="16" priority="3" stopIfTrue="1">
      <formula>$N66=0</formula>
    </cfRule>
  </conditionalFormatting>
  <conditionalFormatting sqref="E66:E110 I66:L110">
    <cfRule type="expression" dxfId="15" priority="4" stopIfTrue="1">
      <formula>$D66=0</formula>
    </cfRule>
  </conditionalFormatting>
  <conditionalFormatting sqref="N66:N110">
    <cfRule type="expression" dxfId="14" priority="5" stopIfTrue="1">
      <formula>"LOOKUP(C12,Cities!$A$3:$A$169,Cities!$L$3:$L$169)=0"</formula>
    </cfRule>
  </conditionalFormatting>
  <pageMargins left="0.5" right="0.5" top="0.5" bottom="0.5" header="0.5" footer="0.5"/>
  <pageSetup scale="75" orientation="portrait" r:id="rId1"/>
  <headerFooter alignWithMargins="0"/>
  <rowBreaks count="1" manualBreakCount="1">
    <brk id="5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3313" r:id="rId4" name="Drop Down 1">
              <controlPr defaultSize="0" autoLine="0" autoPict="0">
                <anchor moveWithCells="1">
                  <from>
                    <xdr:col>1</xdr:col>
                    <xdr:colOff>9525</xdr:colOff>
                    <xdr:row>11</xdr:row>
                    <xdr:rowOff>9525</xdr:rowOff>
                  </from>
                  <to>
                    <xdr:col>1</xdr:col>
                    <xdr:colOff>1924050</xdr:colOff>
                    <xdr:row>11</xdr:row>
                    <xdr:rowOff>209550</xdr:rowOff>
                  </to>
                </anchor>
              </controlPr>
            </control>
          </mc:Choice>
        </mc:AlternateContent>
        <mc:AlternateContent xmlns:mc="http://schemas.openxmlformats.org/markup-compatibility/2006">
          <mc:Choice Requires="x14">
            <control shapeId="13314" r:id="rId5" name="Drop Down 2">
              <controlPr defaultSize="0" autoLine="0" autoPict="0">
                <anchor moveWithCells="1">
                  <from>
                    <xdr:col>1</xdr:col>
                    <xdr:colOff>9525</xdr:colOff>
                    <xdr:row>12</xdr:row>
                    <xdr:rowOff>9525</xdr:rowOff>
                  </from>
                  <to>
                    <xdr:col>1</xdr:col>
                    <xdr:colOff>1924050</xdr:colOff>
                    <xdr:row>12</xdr:row>
                    <xdr:rowOff>209550</xdr:rowOff>
                  </to>
                </anchor>
              </controlPr>
            </control>
          </mc:Choice>
        </mc:AlternateContent>
        <mc:AlternateContent xmlns:mc="http://schemas.openxmlformats.org/markup-compatibility/2006">
          <mc:Choice Requires="x14">
            <control shapeId="13315" r:id="rId6" name="Drop Down 3">
              <controlPr defaultSize="0" autoLine="0" autoPict="0">
                <anchor moveWithCells="1">
                  <from>
                    <xdr:col>1</xdr:col>
                    <xdr:colOff>9525</xdr:colOff>
                    <xdr:row>13</xdr:row>
                    <xdr:rowOff>19050</xdr:rowOff>
                  </from>
                  <to>
                    <xdr:col>1</xdr:col>
                    <xdr:colOff>1924050</xdr:colOff>
                    <xdr:row>13</xdr:row>
                    <xdr:rowOff>219075</xdr:rowOff>
                  </to>
                </anchor>
              </controlPr>
            </control>
          </mc:Choice>
        </mc:AlternateContent>
        <mc:AlternateContent xmlns:mc="http://schemas.openxmlformats.org/markup-compatibility/2006">
          <mc:Choice Requires="x14">
            <control shapeId="13316" r:id="rId7" name="Drop Down 4">
              <controlPr defaultSize="0" autoLine="0" autoPict="0">
                <anchor moveWithCells="1">
                  <from>
                    <xdr:col>1</xdr:col>
                    <xdr:colOff>9525</xdr:colOff>
                    <xdr:row>14</xdr:row>
                    <xdr:rowOff>19050</xdr:rowOff>
                  </from>
                  <to>
                    <xdr:col>1</xdr:col>
                    <xdr:colOff>1924050</xdr:colOff>
                    <xdr:row>14</xdr:row>
                    <xdr:rowOff>219075</xdr:rowOff>
                  </to>
                </anchor>
              </controlPr>
            </control>
          </mc:Choice>
        </mc:AlternateContent>
        <mc:AlternateContent xmlns:mc="http://schemas.openxmlformats.org/markup-compatibility/2006">
          <mc:Choice Requires="x14">
            <control shapeId="13317" r:id="rId8" name="Drop Down 5">
              <controlPr defaultSize="0" autoLine="0" autoPict="0">
                <anchor moveWithCells="1">
                  <from>
                    <xdr:col>1</xdr:col>
                    <xdr:colOff>9525</xdr:colOff>
                    <xdr:row>15</xdr:row>
                    <xdr:rowOff>19050</xdr:rowOff>
                  </from>
                  <to>
                    <xdr:col>1</xdr:col>
                    <xdr:colOff>1924050</xdr:colOff>
                    <xdr:row>15</xdr:row>
                    <xdr:rowOff>219075</xdr:rowOff>
                  </to>
                </anchor>
              </controlPr>
            </control>
          </mc:Choice>
        </mc:AlternateContent>
        <mc:AlternateContent xmlns:mc="http://schemas.openxmlformats.org/markup-compatibility/2006">
          <mc:Choice Requires="x14">
            <control shapeId="13318" r:id="rId9" name="Drop Down 6">
              <controlPr defaultSize="0" autoLine="0" autoPict="0">
                <anchor moveWithCells="1">
                  <from>
                    <xdr:col>1</xdr:col>
                    <xdr:colOff>9525</xdr:colOff>
                    <xdr:row>16</xdr:row>
                    <xdr:rowOff>19050</xdr:rowOff>
                  </from>
                  <to>
                    <xdr:col>1</xdr:col>
                    <xdr:colOff>1924050</xdr:colOff>
                    <xdr:row>16</xdr:row>
                    <xdr:rowOff>219075</xdr:rowOff>
                  </to>
                </anchor>
              </controlPr>
            </control>
          </mc:Choice>
        </mc:AlternateContent>
        <mc:AlternateContent xmlns:mc="http://schemas.openxmlformats.org/markup-compatibility/2006">
          <mc:Choice Requires="x14">
            <control shapeId="13319" r:id="rId10" name="Drop Down 7">
              <controlPr defaultSize="0" autoLine="0" autoPict="0">
                <anchor moveWithCells="1">
                  <from>
                    <xdr:col>1</xdr:col>
                    <xdr:colOff>9525</xdr:colOff>
                    <xdr:row>17</xdr:row>
                    <xdr:rowOff>19050</xdr:rowOff>
                  </from>
                  <to>
                    <xdr:col>1</xdr:col>
                    <xdr:colOff>1924050</xdr:colOff>
                    <xdr:row>17</xdr:row>
                    <xdr:rowOff>219075</xdr:rowOff>
                  </to>
                </anchor>
              </controlPr>
            </control>
          </mc:Choice>
        </mc:AlternateContent>
        <mc:AlternateContent xmlns:mc="http://schemas.openxmlformats.org/markup-compatibility/2006">
          <mc:Choice Requires="x14">
            <control shapeId="13320" r:id="rId11" name="Drop Down 8">
              <controlPr defaultSize="0" autoLine="0" autoPict="0">
                <anchor moveWithCells="1">
                  <from>
                    <xdr:col>1</xdr:col>
                    <xdr:colOff>9525</xdr:colOff>
                    <xdr:row>18</xdr:row>
                    <xdr:rowOff>19050</xdr:rowOff>
                  </from>
                  <to>
                    <xdr:col>1</xdr:col>
                    <xdr:colOff>1924050</xdr:colOff>
                    <xdr:row>18</xdr:row>
                    <xdr:rowOff>219075</xdr:rowOff>
                  </to>
                </anchor>
              </controlPr>
            </control>
          </mc:Choice>
        </mc:AlternateContent>
        <mc:AlternateContent xmlns:mc="http://schemas.openxmlformats.org/markup-compatibility/2006">
          <mc:Choice Requires="x14">
            <control shapeId="13321" r:id="rId12" name="Drop Down 9">
              <controlPr defaultSize="0" autoLine="0" autoPict="0">
                <anchor moveWithCells="1">
                  <from>
                    <xdr:col>1</xdr:col>
                    <xdr:colOff>9525</xdr:colOff>
                    <xdr:row>19</xdr:row>
                    <xdr:rowOff>28575</xdr:rowOff>
                  </from>
                  <to>
                    <xdr:col>1</xdr:col>
                    <xdr:colOff>1924050</xdr:colOff>
                    <xdr:row>20</xdr:row>
                    <xdr:rowOff>0</xdr:rowOff>
                  </to>
                </anchor>
              </controlPr>
            </control>
          </mc:Choice>
        </mc:AlternateContent>
        <mc:AlternateContent xmlns:mc="http://schemas.openxmlformats.org/markup-compatibility/2006">
          <mc:Choice Requires="x14">
            <control shapeId="13322" r:id="rId13" name="Drop Down 10">
              <controlPr defaultSize="0" autoLine="0" autoPict="0">
                <anchor moveWithCells="1">
                  <from>
                    <xdr:col>1</xdr:col>
                    <xdr:colOff>9525</xdr:colOff>
                    <xdr:row>20</xdr:row>
                    <xdr:rowOff>19050</xdr:rowOff>
                  </from>
                  <to>
                    <xdr:col>1</xdr:col>
                    <xdr:colOff>1924050</xdr:colOff>
                    <xdr:row>20</xdr:row>
                    <xdr:rowOff>219075</xdr:rowOff>
                  </to>
                </anchor>
              </controlPr>
            </control>
          </mc:Choice>
        </mc:AlternateContent>
        <mc:AlternateContent xmlns:mc="http://schemas.openxmlformats.org/markup-compatibility/2006">
          <mc:Choice Requires="x14">
            <control shapeId="13323" r:id="rId14" name="Drop Down 11">
              <controlPr defaultSize="0" autoLine="0" autoPict="0">
                <anchor moveWithCells="1">
                  <from>
                    <xdr:col>1</xdr:col>
                    <xdr:colOff>9525</xdr:colOff>
                    <xdr:row>21</xdr:row>
                    <xdr:rowOff>28575</xdr:rowOff>
                  </from>
                  <to>
                    <xdr:col>1</xdr:col>
                    <xdr:colOff>1924050</xdr:colOff>
                    <xdr:row>22</xdr:row>
                    <xdr:rowOff>0</xdr:rowOff>
                  </to>
                </anchor>
              </controlPr>
            </control>
          </mc:Choice>
        </mc:AlternateContent>
        <mc:AlternateContent xmlns:mc="http://schemas.openxmlformats.org/markup-compatibility/2006">
          <mc:Choice Requires="x14">
            <control shapeId="13324" r:id="rId15" name="Drop Down 12">
              <controlPr defaultSize="0" autoLine="0" autoPict="0">
                <anchor moveWithCells="1">
                  <from>
                    <xdr:col>1</xdr:col>
                    <xdr:colOff>9525</xdr:colOff>
                    <xdr:row>22</xdr:row>
                    <xdr:rowOff>28575</xdr:rowOff>
                  </from>
                  <to>
                    <xdr:col>1</xdr:col>
                    <xdr:colOff>1924050</xdr:colOff>
                    <xdr:row>23</xdr:row>
                    <xdr:rowOff>0</xdr:rowOff>
                  </to>
                </anchor>
              </controlPr>
            </control>
          </mc:Choice>
        </mc:AlternateContent>
        <mc:AlternateContent xmlns:mc="http://schemas.openxmlformats.org/markup-compatibility/2006">
          <mc:Choice Requires="x14">
            <control shapeId="13325" r:id="rId16" name="Drop Down 13">
              <controlPr defaultSize="0" autoLine="0" autoPict="0">
                <anchor moveWithCells="1">
                  <from>
                    <xdr:col>1</xdr:col>
                    <xdr:colOff>9525</xdr:colOff>
                    <xdr:row>23</xdr:row>
                    <xdr:rowOff>19050</xdr:rowOff>
                  </from>
                  <to>
                    <xdr:col>1</xdr:col>
                    <xdr:colOff>1924050</xdr:colOff>
                    <xdr:row>23</xdr:row>
                    <xdr:rowOff>219075</xdr:rowOff>
                  </to>
                </anchor>
              </controlPr>
            </control>
          </mc:Choice>
        </mc:AlternateContent>
        <mc:AlternateContent xmlns:mc="http://schemas.openxmlformats.org/markup-compatibility/2006">
          <mc:Choice Requires="x14">
            <control shapeId="13326" r:id="rId17" name="Drop Down 14">
              <controlPr defaultSize="0" autoLine="0" autoPict="0">
                <anchor moveWithCells="1">
                  <from>
                    <xdr:col>1</xdr:col>
                    <xdr:colOff>9525</xdr:colOff>
                    <xdr:row>24</xdr:row>
                    <xdr:rowOff>28575</xdr:rowOff>
                  </from>
                  <to>
                    <xdr:col>1</xdr:col>
                    <xdr:colOff>1924050</xdr:colOff>
                    <xdr:row>25</xdr:row>
                    <xdr:rowOff>0</xdr:rowOff>
                  </to>
                </anchor>
              </controlPr>
            </control>
          </mc:Choice>
        </mc:AlternateContent>
        <mc:AlternateContent xmlns:mc="http://schemas.openxmlformats.org/markup-compatibility/2006">
          <mc:Choice Requires="x14">
            <control shapeId="13327" r:id="rId18" name="Drop Down 15">
              <controlPr defaultSize="0" autoLine="0" autoPict="0">
                <anchor moveWithCells="1">
                  <from>
                    <xdr:col>1</xdr:col>
                    <xdr:colOff>9525</xdr:colOff>
                    <xdr:row>25</xdr:row>
                    <xdr:rowOff>19050</xdr:rowOff>
                  </from>
                  <to>
                    <xdr:col>1</xdr:col>
                    <xdr:colOff>1924050</xdr:colOff>
                    <xdr:row>25</xdr:row>
                    <xdr:rowOff>219075</xdr:rowOff>
                  </to>
                </anchor>
              </controlPr>
            </control>
          </mc:Choice>
        </mc:AlternateContent>
        <mc:AlternateContent xmlns:mc="http://schemas.openxmlformats.org/markup-compatibility/2006">
          <mc:Choice Requires="x14">
            <control shapeId="13328" r:id="rId19" name="Drop Down 16">
              <controlPr defaultSize="0" autoLine="0" autoPict="0">
                <anchor moveWithCells="1">
                  <from>
                    <xdr:col>1</xdr:col>
                    <xdr:colOff>9525</xdr:colOff>
                    <xdr:row>26</xdr:row>
                    <xdr:rowOff>19050</xdr:rowOff>
                  </from>
                  <to>
                    <xdr:col>1</xdr:col>
                    <xdr:colOff>1924050</xdr:colOff>
                    <xdr:row>26</xdr:row>
                    <xdr:rowOff>219075</xdr:rowOff>
                  </to>
                </anchor>
              </controlPr>
            </control>
          </mc:Choice>
        </mc:AlternateContent>
        <mc:AlternateContent xmlns:mc="http://schemas.openxmlformats.org/markup-compatibility/2006">
          <mc:Choice Requires="x14">
            <control shapeId="13329" r:id="rId20" name="Drop Down 17">
              <controlPr defaultSize="0" autoLine="0" autoPict="0">
                <anchor moveWithCells="1">
                  <from>
                    <xdr:col>1</xdr:col>
                    <xdr:colOff>9525</xdr:colOff>
                    <xdr:row>27</xdr:row>
                    <xdr:rowOff>19050</xdr:rowOff>
                  </from>
                  <to>
                    <xdr:col>1</xdr:col>
                    <xdr:colOff>1924050</xdr:colOff>
                    <xdr:row>27</xdr:row>
                    <xdr:rowOff>219075</xdr:rowOff>
                  </to>
                </anchor>
              </controlPr>
            </control>
          </mc:Choice>
        </mc:AlternateContent>
        <mc:AlternateContent xmlns:mc="http://schemas.openxmlformats.org/markup-compatibility/2006">
          <mc:Choice Requires="x14">
            <control shapeId="13330" r:id="rId21" name="Drop Down 18">
              <controlPr defaultSize="0" autoLine="0" autoPict="0">
                <anchor moveWithCells="1">
                  <from>
                    <xdr:col>1</xdr:col>
                    <xdr:colOff>9525</xdr:colOff>
                    <xdr:row>28</xdr:row>
                    <xdr:rowOff>19050</xdr:rowOff>
                  </from>
                  <to>
                    <xdr:col>1</xdr:col>
                    <xdr:colOff>1924050</xdr:colOff>
                    <xdr:row>28</xdr:row>
                    <xdr:rowOff>219075</xdr:rowOff>
                  </to>
                </anchor>
              </controlPr>
            </control>
          </mc:Choice>
        </mc:AlternateContent>
        <mc:AlternateContent xmlns:mc="http://schemas.openxmlformats.org/markup-compatibility/2006">
          <mc:Choice Requires="x14">
            <control shapeId="13331" r:id="rId22" name="Drop Down 19">
              <controlPr defaultSize="0" autoLine="0" autoPict="0">
                <anchor moveWithCells="1">
                  <from>
                    <xdr:col>1</xdr:col>
                    <xdr:colOff>9525</xdr:colOff>
                    <xdr:row>29</xdr:row>
                    <xdr:rowOff>19050</xdr:rowOff>
                  </from>
                  <to>
                    <xdr:col>1</xdr:col>
                    <xdr:colOff>1924050</xdr:colOff>
                    <xdr:row>29</xdr:row>
                    <xdr:rowOff>219075</xdr:rowOff>
                  </to>
                </anchor>
              </controlPr>
            </control>
          </mc:Choice>
        </mc:AlternateContent>
        <mc:AlternateContent xmlns:mc="http://schemas.openxmlformats.org/markup-compatibility/2006">
          <mc:Choice Requires="x14">
            <control shapeId="13332" r:id="rId23" name="Drop Down 20">
              <controlPr defaultSize="0" autoLine="0" autoPict="0">
                <anchor moveWithCells="1">
                  <from>
                    <xdr:col>1</xdr:col>
                    <xdr:colOff>9525</xdr:colOff>
                    <xdr:row>30</xdr:row>
                    <xdr:rowOff>19050</xdr:rowOff>
                  </from>
                  <to>
                    <xdr:col>1</xdr:col>
                    <xdr:colOff>1924050</xdr:colOff>
                    <xdr:row>30</xdr:row>
                    <xdr:rowOff>219075</xdr:rowOff>
                  </to>
                </anchor>
              </controlPr>
            </control>
          </mc:Choice>
        </mc:AlternateContent>
        <mc:AlternateContent xmlns:mc="http://schemas.openxmlformats.org/markup-compatibility/2006">
          <mc:Choice Requires="x14">
            <control shapeId="13333" r:id="rId24" name="Drop Down 21">
              <controlPr defaultSize="0" autoLine="0" autoPict="0">
                <anchor moveWithCells="1">
                  <from>
                    <xdr:col>1</xdr:col>
                    <xdr:colOff>9525</xdr:colOff>
                    <xdr:row>31</xdr:row>
                    <xdr:rowOff>19050</xdr:rowOff>
                  </from>
                  <to>
                    <xdr:col>1</xdr:col>
                    <xdr:colOff>1924050</xdr:colOff>
                    <xdr:row>31</xdr:row>
                    <xdr:rowOff>219075</xdr:rowOff>
                  </to>
                </anchor>
              </controlPr>
            </control>
          </mc:Choice>
        </mc:AlternateContent>
        <mc:AlternateContent xmlns:mc="http://schemas.openxmlformats.org/markup-compatibility/2006">
          <mc:Choice Requires="x14">
            <control shapeId="13334" r:id="rId25" name="Drop Down 22">
              <controlPr defaultSize="0" autoLine="0" autoPict="0">
                <anchor moveWithCells="1">
                  <from>
                    <xdr:col>1</xdr:col>
                    <xdr:colOff>9525</xdr:colOff>
                    <xdr:row>32</xdr:row>
                    <xdr:rowOff>19050</xdr:rowOff>
                  </from>
                  <to>
                    <xdr:col>1</xdr:col>
                    <xdr:colOff>1924050</xdr:colOff>
                    <xdr:row>32</xdr:row>
                    <xdr:rowOff>219075</xdr:rowOff>
                  </to>
                </anchor>
              </controlPr>
            </control>
          </mc:Choice>
        </mc:AlternateContent>
        <mc:AlternateContent xmlns:mc="http://schemas.openxmlformats.org/markup-compatibility/2006">
          <mc:Choice Requires="x14">
            <control shapeId="13335" r:id="rId26" name="Drop Down 23">
              <controlPr defaultSize="0" autoLine="0" autoPict="0">
                <anchor moveWithCells="1">
                  <from>
                    <xdr:col>1</xdr:col>
                    <xdr:colOff>9525</xdr:colOff>
                    <xdr:row>33</xdr:row>
                    <xdr:rowOff>19050</xdr:rowOff>
                  </from>
                  <to>
                    <xdr:col>1</xdr:col>
                    <xdr:colOff>1924050</xdr:colOff>
                    <xdr:row>33</xdr:row>
                    <xdr:rowOff>219075</xdr:rowOff>
                  </to>
                </anchor>
              </controlPr>
            </control>
          </mc:Choice>
        </mc:AlternateContent>
        <mc:AlternateContent xmlns:mc="http://schemas.openxmlformats.org/markup-compatibility/2006">
          <mc:Choice Requires="x14">
            <control shapeId="13336" r:id="rId27" name="Drop Down 24">
              <controlPr defaultSize="0" autoLine="0" autoPict="0">
                <anchor moveWithCells="1">
                  <from>
                    <xdr:col>1</xdr:col>
                    <xdr:colOff>9525</xdr:colOff>
                    <xdr:row>34</xdr:row>
                    <xdr:rowOff>19050</xdr:rowOff>
                  </from>
                  <to>
                    <xdr:col>1</xdr:col>
                    <xdr:colOff>1924050</xdr:colOff>
                    <xdr:row>34</xdr:row>
                    <xdr:rowOff>219075</xdr:rowOff>
                  </to>
                </anchor>
              </controlPr>
            </control>
          </mc:Choice>
        </mc:AlternateContent>
        <mc:AlternateContent xmlns:mc="http://schemas.openxmlformats.org/markup-compatibility/2006">
          <mc:Choice Requires="x14">
            <control shapeId="13337" r:id="rId28" name="Drop Down 25">
              <controlPr defaultSize="0" autoLine="0" autoPict="0">
                <anchor moveWithCells="1">
                  <from>
                    <xdr:col>1</xdr:col>
                    <xdr:colOff>9525</xdr:colOff>
                    <xdr:row>35</xdr:row>
                    <xdr:rowOff>19050</xdr:rowOff>
                  </from>
                  <to>
                    <xdr:col>1</xdr:col>
                    <xdr:colOff>1924050</xdr:colOff>
                    <xdr:row>35</xdr:row>
                    <xdr:rowOff>219075</xdr:rowOff>
                  </to>
                </anchor>
              </controlPr>
            </control>
          </mc:Choice>
        </mc:AlternateContent>
        <mc:AlternateContent xmlns:mc="http://schemas.openxmlformats.org/markup-compatibility/2006">
          <mc:Choice Requires="x14">
            <control shapeId="13338" r:id="rId29" name="Drop Down 26">
              <controlPr defaultSize="0" autoLine="0" autoPict="0">
                <anchor moveWithCells="1">
                  <from>
                    <xdr:col>1</xdr:col>
                    <xdr:colOff>9525</xdr:colOff>
                    <xdr:row>36</xdr:row>
                    <xdr:rowOff>19050</xdr:rowOff>
                  </from>
                  <to>
                    <xdr:col>1</xdr:col>
                    <xdr:colOff>1924050</xdr:colOff>
                    <xdr:row>36</xdr:row>
                    <xdr:rowOff>219075</xdr:rowOff>
                  </to>
                </anchor>
              </controlPr>
            </control>
          </mc:Choice>
        </mc:AlternateContent>
        <mc:AlternateContent xmlns:mc="http://schemas.openxmlformats.org/markup-compatibility/2006">
          <mc:Choice Requires="x14">
            <control shapeId="13339" r:id="rId30" name="Drop Down 27">
              <controlPr defaultSize="0" autoLine="0" autoPict="0">
                <anchor moveWithCells="1">
                  <from>
                    <xdr:col>1</xdr:col>
                    <xdr:colOff>9525</xdr:colOff>
                    <xdr:row>37</xdr:row>
                    <xdr:rowOff>19050</xdr:rowOff>
                  </from>
                  <to>
                    <xdr:col>1</xdr:col>
                    <xdr:colOff>1924050</xdr:colOff>
                    <xdr:row>37</xdr:row>
                    <xdr:rowOff>219075</xdr:rowOff>
                  </to>
                </anchor>
              </controlPr>
            </control>
          </mc:Choice>
        </mc:AlternateContent>
        <mc:AlternateContent xmlns:mc="http://schemas.openxmlformats.org/markup-compatibility/2006">
          <mc:Choice Requires="x14">
            <control shapeId="13340" r:id="rId31" name="Drop Down 28">
              <controlPr defaultSize="0" autoLine="0" autoPict="0">
                <anchor moveWithCells="1">
                  <from>
                    <xdr:col>1</xdr:col>
                    <xdr:colOff>9525</xdr:colOff>
                    <xdr:row>38</xdr:row>
                    <xdr:rowOff>19050</xdr:rowOff>
                  </from>
                  <to>
                    <xdr:col>1</xdr:col>
                    <xdr:colOff>1924050</xdr:colOff>
                    <xdr:row>38</xdr:row>
                    <xdr:rowOff>219075</xdr:rowOff>
                  </to>
                </anchor>
              </controlPr>
            </control>
          </mc:Choice>
        </mc:AlternateContent>
        <mc:AlternateContent xmlns:mc="http://schemas.openxmlformats.org/markup-compatibility/2006">
          <mc:Choice Requires="x14">
            <control shapeId="13341" r:id="rId32" name="Drop Down 29">
              <controlPr defaultSize="0" autoLine="0" autoPict="0">
                <anchor moveWithCells="1">
                  <from>
                    <xdr:col>1</xdr:col>
                    <xdr:colOff>9525</xdr:colOff>
                    <xdr:row>39</xdr:row>
                    <xdr:rowOff>19050</xdr:rowOff>
                  </from>
                  <to>
                    <xdr:col>1</xdr:col>
                    <xdr:colOff>1924050</xdr:colOff>
                    <xdr:row>39</xdr:row>
                    <xdr:rowOff>219075</xdr:rowOff>
                  </to>
                </anchor>
              </controlPr>
            </control>
          </mc:Choice>
        </mc:AlternateContent>
        <mc:AlternateContent xmlns:mc="http://schemas.openxmlformats.org/markup-compatibility/2006">
          <mc:Choice Requires="x14">
            <control shapeId="13342" r:id="rId33" name="Drop Down 30">
              <controlPr defaultSize="0" autoLine="0" autoPict="0">
                <anchor moveWithCells="1">
                  <from>
                    <xdr:col>1</xdr:col>
                    <xdr:colOff>9525</xdr:colOff>
                    <xdr:row>40</xdr:row>
                    <xdr:rowOff>19050</xdr:rowOff>
                  </from>
                  <to>
                    <xdr:col>1</xdr:col>
                    <xdr:colOff>1924050</xdr:colOff>
                    <xdr:row>40</xdr:row>
                    <xdr:rowOff>219075</xdr:rowOff>
                  </to>
                </anchor>
              </controlPr>
            </control>
          </mc:Choice>
        </mc:AlternateContent>
        <mc:AlternateContent xmlns:mc="http://schemas.openxmlformats.org/markup-compatibility/2006">
          <mc:Choice Requires="x14">
            <control shapeId="13343" r:id="rId34" name="Drop Down 31">
              <controlPr defaultSize="0" autoLine="0" autoPict="0">
                <anchor moveWithCells="1">
                  <from>
                    <xdr:col>1</xdr:col>
                    <xdr:colOff>9525</xdr:colOff>
                    <xdr:row>41</xdr:row>
                    <xdr:rowOff>19050</xdr:rowOff>
                  </from>
                  <to>
                    <xdr:col>1</xdr:col>
                    <xdr:colOff>1924050</xdr:colOff>
                    <xdr:row>41</xdr:row>
                    <xdr:rowOff>219075</xdr:rowOff>
                  </to>
                </anchor>
              </controlPr>
            </control>
          </mc:Choice>
        </mc:AlternateContent>
        <mc:AlternateContent xmlns:mc="http://schemas.openxmlformats.org/markup-compatibility/2006">
          <mc:Choice Requires="x14">
            <control shapeId="13344" r:id="rId35" name="Drop Down 32">
              <controlPr defaultSize="0" autoLine="0" autoPict="0">
                <anchor moveWithCells="1">
                  <from>
                    <xdr:col>1</xdr:col>
                    <xdr:colOff>9525</xdr:colOff>
                    <xdr:row>42</xdr:row>
                    <xdr:rowOff>19050</xdr:rowOff>
                  </from>
                  <to>
                    <xdr:col>1</xdr:col>
                    <xdr:colOff>1924050</xdr:colOff>
                    <xdr:row>42</xdr:row>
                    <xdr:rowOff>219075</xdr:rowOff>
                  </to>
                </anchor>
              </controlPr>
            </control>
          </mc:Choice>
        </mc:AlternateContent>
        <mc:AlternateContent xmlns:mc="http://schemas.openxmlformats.org/markup-compatibility/2006">
          <mc:Choice Requires="x14">
            <control shapeId="13345" r:id="rId36" name="Drop Down 33">
              <controlPr defaultSize="0" autoLine="0" autoPict="0">
                <anchor moveWithCells="1">
                  <from>
                    <xdr:col>1</xdr:col>
                    <xdr:colOff>9525</xdr:colOff>
                    <xdr:row>43</xdr:row>
                    <xdr:rowOff>19050</xdr:rowOff>
                  </from>
                  <to>
                    <xdr:col>1</xdr:col>
                    <xdr:colOff>1924050</xdr:colOff>
                    <xdr:row>43</xdr:row>
                    <xdr:rowOff>219075</xdr:rowOff>
                  </to>
                </anchor>
              </controlPr>
            </control>
          </mc:Choice>
        </mc:AlternateContent>
        <mc:AlternateContent xmlns:mc="http://schemas.openxmlformats.org/markup-compatibility/2006">
          <mc:Choice Requires="x14">
            <control shapeId="13346" r:id="rId37" name="Drop Down 34">
              <controlPr defaultSize="0" autoLine="0" autoPict="0">
                <anchor moveWithCells="1">
                  <from>
                    <xdr:col>1</xdr:col>
                    <xdr:colOff>9525</xdr:colOff>
                    <xdr:row>44</xdr:row>
                    <xdr:rowOff>19050</xdr:rowOff>
                  </from>
                  <to>
                    <xdr:col>1</xdr:col>
                    <xdr:colOff>1924050</xdr:colOff>
                    <xdr:row>44</xdr:row>
                    <xdr:rowOff>219075</xdr:rowOff>
                  </to>
                </anchor>
              </controlPr>
            </control>
          </mc:Choice>
        </mc:AlternateContent>
        <mc:AlternateContent xmlns:mc="http://schemas.openxmlformats.org/markup-compatibility/2006">
          <mc:Choice Requires="x14">
            <control shapeId="13347" r:id="rId38" name="Drop Down 35">
              <controlPr defaultSize="0" autoLine="0" autoPict="0">
                <anchor moveWithCells="1">
                  <from>
                    <xdr:col>1</xdr:col>
                    <xdr:colOff>9525</xdr:colOff>
                    <xdr:row>45</xdr:row>
                    <xdr:rowOff>19050</xdr:rowOff>
                  </from>
                  <to>
                    <xdr:col>1</xdr:col>
                    <xdr:colOff>1924050</xdr:colOff>
                    <xdr:row>45</xdr:row>
                    <xdr:rowOff>219075</xdr:rowOff>
                  </to>
                </anchor>
              </controlPr>
            </control>
          </mc:Choice>
        </mc:AlternateContent>
        <mc:AlternateContent xmlns:mc="http://schemas.openxmlformats.org/markup-compatibility/2006">
          <mc:Choice Requires="x14">
            <control shapeId="13348" r:id="rId39" name="Drop Down 36">
              <controlPr defaultSize="0" autoLine="0" autoPict="0">
                <anchor moveWithCells="1">
                  <from>
                    <xdr:col>1</xdr:col>
                    <xdr:colOff>9525</xdr:colOff>
                    <xdr:row>46</xdr:row>
                    <xdr:rowOff>19050</xdr:rowOff>
                  </from>
                  <to>
                    <xdr:col>1</xdr:col>
                    <xdr:colOff>1924050</xdr:colOff>
                    <xdr:row>46</xdr:row>
                    <xdr:rowOff>219075</xdr:rowOff>
                  </to>
                </anchor>
              </controlPr>
            </control>
          </mc:Choice>
        </mc:AlternateContent>
        <mc:AlternateContent xmlns:mc="http://schemas.openxmlformats.org/markup-compatibility/2006">
          <mc:Choice Requires="x14">
            <control shapeId="13349" r:id="rId40" name="Drop Down 37">
              <controlPr defaultSize="0" autoLine="0" autoPict="0">
                <anchor moveWithCells="1">
                  <from>
                    <xdr:col>1</xdr:col>
                    <xdr:colOff>9525</xdr:colOff>
                    <xdr:row>47</xdr:row>
                    <xdr:rowOff>19050</xdr:rowOff>
                  </from>
                  <to>
                    <xdr:col>1</xdr:col>
                    <xdr:colOff>1924050</xdr:colOff>
                    <xdr:row>47</xdr:row>
                    <xdr:rowOff>219075</xdr:rowOff>
                  </to>
                </anchor>
              </controlPr>
            </control>
          </mc:Choice>
        </mc:AlternateContent>
        <mc:AlternateContent xmlns:mc="http://schemas.openxmlformats.org/markup-compatibility/2006">
          <mc:Choice Requires="x14">
            <control shapeId="13350" r:id="rId41" name="Drop Down 38">
              <controlPr defaultSize="0" autoLine="0" autoPict="0">
                <anchor moveWithCells="1">
                  <from>
                    <xdr:col>1</xdr:col>
                    <xdr:colOff>9525</xdr:colOff>
                    <xdr:row>48</xdr:row>
                    <xdr:rowOff>19050</xdr:rowOff>
                  </from>
                  <to>
                    <xdr:col>1</xdr:col>
                    <xdr:colOff>1924050</xdr:colOff>
                    <xdr:row>48</xdr:row>
                    <xdr:rowOff>219075</xdr:rowOff>
                  </to>
                </anchor>
              </controlPr>
            </control>
          </mc:Choice>
        </mc:AlternateContent>
        <mc:AlternateContent xmlns:mc="http://schemas.openxmlformats.org/markup-compatibility/2006">
          <mc:Choice Requires="x14">
            <control shapeId="13351" r:id="rId42" name="Drop Down 39">
              <controlPr defaultSize="0" autoLine="0" autoPict="0">
                <anchor moveWithCells="1">
                  <from>
                    <xdr:col>1</xdr:col>
                    <xdr:colOff>9525</xdr:colOff>
                    <xdr:row>49</xdr:row>
                    <xdr:rowOff>19050</xdr:rowOff>
                  </from>
                  <to>
                    <xdr:col>1</xdr:col>
                    <xdr:colOff>1924050</xdr:colOff>
                    <xdr:row>49</xdr:row>
                    <xdr:rowOff>219075</xdr:rowOff>
                  </to>
                </anchor>
              </controlPr>
            </control>
          </mc:Choice>
        </mc:AlternateContent>
        <mc:AlternateContent xmlns:mc="http://schemas.openxmlformats.org/markup-compatibility/2006">
          <mc:Choice Requires="x14">
            <control shapeId="13352" r:id="rId43" name="Drop Down 40">
              <controlPr defaultSize="0" autoLine="0" autoPict="0">
                <anchor moveWithCells="1">
                  <from>
                    <xdr:col>1</xdr:col>
                    <xdr:colOff>9525</xdr:colOff>
                    <xdr:row>50</xdr:row>
                    <xdr:rowOff>19050</xdr:rowOff>
                  </from>
                  <to>
                    <xdr:col>1</xdr:col>
                    <xdr:colOff>1924050</xdr:colOff>
                    <xdr:row>50</xdr:row>
                    <xdr:rowOff>219075</xdr:rowOff>
                  </to>
                </anchor>
              </controlPr>
            </control>
          </mc:Choice>
        </mc:AlternateContent>
        <mc:AlternateContent xmlns:mc="http://schemas.openxmlformats.org/markup-compatibility/2006">
          <mc:Choice Requires="x14">
            <control shapeId="13353" r:id="rId44" name="Drop Down 41">
              <controlPr defaultSize="0" autoLine="0" autoPict="0">
                <anchor moveWithCells="1">
                  <from>
                    <xdr:col>1</xdr:col>
                    <xdr:colOff>9525</xdr:colOff>
                    <xdr:row>51</xdr:row>
                    <xdr:rowOff>19050</xdr:rowOff>
                  </from>
                  <to>
                    <xdr:col>1</xdr:col>
                    <xdr:colOff>1924050</xdr:colOff>
                    <xdr:row>51</xdr:row>
                    <xdr:rowOff>219075</xdr:rowOff>
                  </to>
                </anchor>
              </controlPr>
            </control>
          </mc:Choice>
        </mc:AlternateContent>
        <mc:AlternateContent xmlns:mc="http://schemas.openxmlformats.org/markup-compatibility/2006">
          <mc:Choice Requires="x14">
            <control shapeId="13354" r:id="rId45" name="Drop Down 42">
              <controlPr defaultSize="0" autoLine="0" autoPict="0">
                <anchor moveWithCells="1">
                  <from>
                    <xdr:col>1</xdr:col>
                    <xdr:colOff>9525</xdr:colOff>
                    <xdr:row>52</xdr:row>
                    <xdr:rowOff>19050</xdr:rowOff>
                  </from>
                  <to>
                    <xdr:col>1</xdr:col>
                    <xdr:colOff>1924050</xdr:colOff>
                    <xdr:row>52</xdr:row>
                    <xdr:rowOff>219075</xdr:rowOff>
                  </to>
                </anchor>
              </controlPr>
            </control>
          </mc:Choice>
        </mc:AlternateContent>
        <mc:AlternateContent xmlns:mc="http://schemas.openxmlformats.org/markup-compatibility/2006">
          <mc:Choice Requires="x14">
            <control shapeId="13355" r:id="rId46" name="Drop Down 43">
              <controlPr defaultSize="0" autoLine="0" autoPict="0">
                <anchor moveWithCells="1">
                  <from>
                    <xdr:col>1</xdr:col>
                    <xdr:colOff>9525</xdr:colOff>
                    <xdr:row>53</xdr:row>
                    <xdr:rowOff>19050</xdr:rowOff>
                  </from>
                  <to>
                    <xdr:col>1</xdr:col>
                    <xdr:colOff>1924050</xdr:colOff>
                    <xdr:row>53</xdr:row>
                    <xdr:rowOff>219075</xdr:rowOff>
                  </to>
                </anchor>
              </controlPr>
            </control>
          </mc:Choice>
        </mc:AlternateContent>
        <mc:AlternateContent xmlns:mc="http://schemas.openxmlformats.org/markup-compatibility/2006">
          <mc:Choice Requires="x14">
            <control shapeId="13356" r:id="rId47" name="Drop Down 44">
              <controlPr defaultSize="0" autoLine="0" autoPict="0">
                <anchor moveWithCells="1">
                  <from>
                    <xdr:col>1</xdr:col>
                    <xdr:colOff>9525</xdr:colOff>
                    <xdr:row>54</xdr:row>
                    <xdr:rowOff>19050</xdr:rowOff>
                  </from>
                  <to>
                    <xdr:col>1</xdr:col>
                    <xdr:colOff>1924050</xdr:colOff>
                    <xdr:row>54</xdr:row>
                    <xdr:rowOff>219075</xdr:rowOff>
                  </to>
                </anchor>
              </controlPr>
            </control>
          </mc:Choice>
        </mc:AlternateContent>
        <mc:AlternateContent xmlns:mc="http://schemas.openxmlformats.org/markup-compatibility/2006">
          <mc:Choice Requires="x14">
            <control shapeId="13357" r:id="rId48" name="Drop Down 45">
              <controlPr defaultSize="0" autoLine="0" autoPict="0">
                <anchor moveWithCells="1">
                  <from>
                    <xdr:col>1</xdr:col>
                    <xdr:colOff>9525</xdr:colOff>
                    <xdr:row>55</xdr:row>
                    <xdr:rowOff>19050</xdr:rowOff>
                  </from>
                  <to>
                    <xdr:col>1</xdr:col>
                    <xdr:colOff>1924050</xdr:colOff>
                    <xdr:row>55</xdr:row>
                    <xdr:rowOff>219075</xdr:rowOff>
                  </to>
                </anchor>
              </controlPr>
            </control>
          </mc:Choice>
        </mc:AlternateContent>
        <mc:AlternateContent xmlns:mc="http://schemas.openxmlformats.org/markup-compatibility/2006">
          <mc:Choice Requires="x14">
            <control shapeId="13358" r:id="rId49" name="Check Box 46">
              <controlPr defaultSize="0" autoFill="0" autoLine="0" autoPict="0">
                <anchor moveWithCells="1">
                  <from>
                    <xdr:col>10</xdr:col>
                    <xdr:colOff>247650</xdr:colOff>
                    <xdr:row>59</xdr:row>
                    <xdr:rowOff>0</xdr:rowOff>
                  </from>
                  <to>
                    <xdr:col>10</xdr:col>
                    <xdr:colOff>476250</xdr:colOff>
                    <xdr:row>59</xdr:row>
                    <xdr:rowOff>190500</xdr:rowOff>
                  </to>
                </anchor>
              </controlPr>
            </control>
          </mc:Choice>
        </mc:AlternateContent>
      </controls>
    </mc:Choice>
  </mc:AlternateContent>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4"/>
  <dimension ref="A1:R112"/>
  <sheetViews>
    <sheetView showGridLines="0" zoomScaleNormal="100" workbookViewId="0">
      <selection activeCell="C12" sqref="C12:C23"/>
    </sheetView>
  </sheetViews>
  <sheetFormatPr defaultRowHeight="12.75" x14ac:dyDescent="0.2"/>
  <cols>
    <col min="1" max="1" width="3.7109375" customWidth="1"/>
    <col min="2" max="2" width="29.140625" customWidth="1"/>
    <col min="3" max="3" width="0.140625" hidden="1" customWidth="1"/>
    <col min="4" max="4" width="4.7109375" customWidth="1"/>
    <col min="5" max="6" width="16" customWidth="1"/>
    <col min="7" max="7" width="10.7109375" customWidth="1"/>
    <col min="8" max="8" width="6" customWidth="1"/>
    <col min="9" max="9" width="10.7109375" customWidth="1"/>
    <col min="10" max="10" width="6" customWidth="1"/>
    <col min="11" max="11" width="10.7109375" customWidth="1"/>
    <col min="12" max="12" width="6" customWidth="1"/>
    <col min="13" max="13" width="9.7109375" customWidth="1"/>
    <col min="14" max="14" width="3.28515625" hidden="1" customWidth="1"/>
    <col min="15" max="15" width="11.28515625" customWidth="1"/>
    <col min="16" max="16" width="10.7109375" customWidth="1"/>
    <col min="17" max="17" width="5.7109375" customWidth="1"/>
    <col min="18" max="18" width="10.7109375" customWidth="1"/>
    <col min="19" max="19" width="12.7109375" customWidth="1"/>
  </cols>
  <sheetData>
    <row r="1" spans="1:18" ht="26.1" customHeight="1" x14ac:dyDescent="0.4">
      <c r="A1" s="1372" t="s">
        <v>372</v>
      </c>
      <c r="B1" s="1540"/>
      <c r="C1" s="216"/>
      <c r="D1" s="1541" t="s">
        <v>364</v>
      </c>
      <c r="E1" s="1374"/>
      <c r="F1" s="1374"/>
      <c r="G1" s="1374"/>
      <c r="H1" s="1374"/>
      <c r="I1" s="1374"/>
      <c r="J1" s="1374"/>
      <c r="K1" s="1542"/>
      <c r="L1" s="1380">
        <f>IF('Complete This Page'!G11="",YEAR('Complete This Page'!H11),'Complete This Page'!G11)</f>
        <v>2018</v>
      </c>
      <c r="M1" s="1381"/>
      <c r="O1" s="171"/>
      <c r="P1" s="171"/>
      <c r="Q1" s="171"/>
      <c r="R1" s="171"/>
    </row>
    <row r="2" spans="1:18" ht="11.25" customHeight="1" x14ac:dyDescent="0.2">
      <c r="A2" s="1545" t="s">
        <v>159</v>
      </c>
      <c r="B2" s="1546"/>
      <c r="C2" s="217"/>
      <c r="D2" s="1543"/>
      <c r="E2" s="1375"/>
      <c r="F2" s="1375"/>
      <c r="G2" s="1375"/>
      <c r="H2" s="1375"/>
      <c r="I2" s="1375"/>
      <c r="J2" s="1375"/>
      <c r="K2" s="1544"/>
      <c r="L2" s="1382" t="str">
        <f>+'Complete This Page'!J1</f>
        <v>NPAC v2018.0</v>
      </c>
      <c r="M2" s="1383"/>
      <c r="O2" s="786"/>
      <c r="P2" s="171"/>
      <c r="Q2" s="171"/>
      <c r="R2" s="171"/>
    </row>
    <row r="3" spans="1:18" x14ac:dyDescent="0.2">
      <c r="A3" s="1" t="s">
        <v>467</v>
      </c>
      <c r="B3" s="879"/>
      <c r="C3" s="879"/>
      <c r="D3" s="879"/>
      <c r="E3" s="879"/>
      <c r="F3" s="879"/>
      <c r="G3" s="879"/>
      <c r="H3" s="879"/>
      <c r="I3" s="880"/>
      <c r="J3" s="334"/>
      <c r="K3" s="335" t="s">
        <v>466</v>
      </c>
      <c r="L3" s="1"/>
      <c r="M3" s="1"/>
      <c r="O3" s="171"/>
      <c r="P3" s="171"/>
      <c r="Q3" s="171"/>
      <c r="R3" s="171"/>
    </row>
    <row r="4" spans="1:18" ht="18" x14ac:dyDescent="0.25">
      <c r="A4" s="881"/>
      <c r="B4" s="1377">
        <f>'Complete This Page'!B3</f>
        <v>0</v>
      </c>
      <c r="C4" s="1377"/>
      <c r="D4" s="1377"/>
      <c r="E4" s="1377"/>
      <c r="F4" s="1377"/>
      <c r="G4" s="1377"/>
      <c r="H4" s="1377"/>
      <c r="I4" s="1377"/>
      <c r="J4" s="1378"/>
      <c r="K4" s="1350">
        <f>'Complete This Page'!G3</f>
        <v>0</v>
      </c>
      <c r="L4" s="1351"/>
      <c r="M4" s="1351"/>
      <c r="O4" s="786"/>
      <c r="P4" s="171"/>
      <c r="Q4" s="171"/>
      <c r="R4" s="171"/>
    </row>
    <row r="5" spans="1:18" s="7" customFormat="1" ht="8.25" x14ac:dyDescent="0.15">
      <c r="L5" s="8"/>
      <c r="M5" s="603"/>
      <c r="O5" s="604"/>
      <c r="P5" s="604"/>
      <c r="Q5" s="604"/>
      <c r="R5" s="604"/>
    </row>
    <row r="6" spans="1:18" x14ac:dyDescent="0.2">
      <c r="B6" s="1550" t="s">
        <v>314</v>
      </c>
      <c r="E6" s="1526" t="s">
        <v>628</v>
      </c>
      <c r="F6" s="1527"/>
      <c r="G6" s="674">
        <f>IF(Overflow!G6="","",Overflow!G6)</f>
        <v>0</v>
      </c>
      <c r="I6" s="1534" t="s">
        <v>631</v>
      </c>
      <c r="J6" s="1535"/>
      <c r="K6" s="675">
        <f>IF(Overflow!K6="","",Overflow!K6)</f>
        <v>0</v>
      </c>
      <c r="L6" s="320"/>
      <c r="N6" s="340">
        <f>IF(G8&gt;0,1,0)</f>
        <v>0</v>
      </c>
      <c r="O6" s="171"/>
      <c r="P6" s="171"/>
      <c r="Q6" s="171"/>
      <c r="R6" s="171"/>
    </row>
    <row r="7" spans="1:18" x14ac:dyDescent="0.2">
      <c r="B7" s="1551"/>
      <c r="D7" s="329"/>
      <c r="E7" s="1528" t="s">
        <v>629</v>
      </c>
      <c r="F7" s="1529"/>
      <c r="G7" s="674">
        <f>IF(Overflow!G7="","",Overflow!G7)</f>
        <v>0</v>
      </c>
      <c r="H7" s="321"/>
      <c r="I7" s="333"/>
      <c r="J7" s="321"/>
      <c r="K7" s="320"/>
      <c r="L7" s="320"/>
      <c r="N7" s="340">
        <f>IF(K6&gt;0,1,0)</f>
        <v>0</v>
      </c>
      <c r="O7" s="171"/>
      <c r="P7" s="342"/>
      <c r="Q7" s="342"/>
      <c r="R7" s="343"/>
    </row>
    <row r="8" spans="1:18" x14ac:dyDescent="0.2">
      <c r="B8" s="1551"/>
      <c r="D8" s="329"/>
      <c r="E8" s="1532" t="s">
        <v>630</v>
      </c>
      <c r="F8" s="1533"/>
      <c r="G8" s="599">
        <f>SUM(G6:G7)</f>
        <v>0</v>
      </c>
      <c r="H8" s="321"/>
      <c r="I8" s="1536" t="s">
        <v>632</v>
      </c>
      <c r="J8" s="1537"/>
      <c r="K8" s="675">
        <f>IF(Overflow!K8="","",Overflow!K8)</f>
        <v>0</v>
      </c>
      <c r="N8" s="340">
        <f>IF(K8&gt;0,1,0)</f>
        <v>0</v>
      </c>
      <c r="O8" s="171"/>
      <c r="P8" s="171"/>
      <c r="Q8" s="171"/>
      <c r="R8" s="171"/>
    </row>
    <row r="9" spans="1:18" s="7" customFormat="1" ht="11.25" customHeight="1" x14ac:dyDescent="0.15">
      <c r="N9" s="605">
        <f>SUM(N6:N8)</f>
        <v>0</v>
      </c>
      <c r="O9" s="604"/>
      <c r="P9" s="604"/>
      <c r="Q9" s="604"/>
      <c r="R9" s="604"/>
    </row>
    <row r="10" spans="1:18" s="1" customFormat="1" ht="11.25" x14ac:dyDescent="0.2">
      <c r="B10" s="322"/>
      <c r="D10" s="1547" t="s">
        <v>588</v>
      </c>
      <c r="E10" s="1530" t="s">
        <v>621</v>
      </c>
      <c r="F10" s="1531"/>
      <c r="G10" s="1531"/>
      <c r="H10" s="1538"/>
      <c r="I10" s="1530" t="s">
        <v>627</v>
      </c>
      <c r="J10" s="1531"/>
      <c r="K10" s="1006" t="s">
        <v>1670</v>
      </c>
      <c r="L10" s="1007"/>
      <c r="M10" s="21" t="s">
        <v>620</v>
      </c>
      <c r="O10" s="344"/>
      <c r="P10" s="344"/>
      <c r="Q10" s="344"/>
      <c r="R10" s="344"/>
    </row>
    <row r="11" spans="1:18" x14ac:dyDescent="0.2">
      <c r="B11" s="323" t="s">
        <v>618</v>
      </c>
      <c r="C11" s="324" t="s">
        <v>164</v>
      </c>
      <c r="D11" s="1548"/>
      <c r="E11" s="22" t="s">
        <v>622</v>
      </c>
      <c r="F11" s="22" t="s">
        <v>623</v>
      </c>
      <c r="G11" s="22" t="s">
        <v>624</v>
      </c>
      <c r="H11" s="22" t="s">
        <v>625</v>
      </c>
      <c r="I11" s="22" t="s">
        <v>619</v>
      </c>
      <c r="J11" s="22" t="s">
        <v>625</v>
      </c>
      <c r="K11" s="22" t="s">
        <v>626</v>
      </c>
      <c r="L11" s="22" t="s">
        <v>625</v>
      </c>
      <c r="M11" s="22"/>
      <c r="O11" s="171"/>
      <c r="P11" s="171"/>
      <c r="Q11" s="171"/>
      <c r="R11" s="171"/>
    </row>
    <row r="12" spans="1:18" ht="18" customHeight="1" x14ac:dyDescent="0.2">
      <c r="A12" s="325">
        <v>271</v>
      </c>
      <c r="B12" s="878"/>
      <c r="C12" s="326">
        <v>1</v>
      </c>
      <c r="D12" s="327">
        <f>LOOKUP(C12,Cities!A$3:A$343,Cities!B$3:B$343)</f>
        <v>0</v>
      </c>
      <c r="E12" s="332">
        <v>0</v>
      </c>
      <c r="F12" s="332">
        <v>0</v>
      </c>
      <c r="G12" s="331">
        <f t="shared" ref="G12:G56" si="0">+E12+F12</f>
        <v>0</v>
      </c>
      <c r="H12" s="914" t="str">
        <f t="shared" ref="H12:H56" si="1">IF(G$8&gt;0,ROUND(G12/G$8,6),"n/a")</f>
        <v>n/a</v>
      </c>
      <c r="I12" s="332">
        <v>0</v>
      </c>
      <c r="J12" s="914" t="str">
        <f>IF(Overflow!K$6&gt;0,ROUND(I12/Overflow!K$6,6),"n/a")</f>
        <v>n/a</v>
      </c>
      <c r="K12" s="332">
        <v>0</v>
      </c>
      <c r="L12" s="914" t="str">
        <f>IF(Overflow!K$8&gt;0,ROUND(K12/Overflow!K$8,6),"n/a")</f>
        <v>n/a</v>
      </c>
      <c r="M12" s="330">
        <f>IF(Overflow!G$8+Overflow!K$6+Overflow!K$8=0,0,ROUND((IF(H12="n/a",0,H12)+IF(J12="n/a",0,J12)+IF(L12="n/a",0,L12))/N$9,6))</f>
        <v>0</v>
      </c>
      <c r="O12" s="785">
        <f>LOOKUP(C12,Cities!A$3:A$343,Cities!AA$3:AA$343)</f>
        <v>0</v>
      </c>
      <c r="P12" s="171"/>
      <c r="Q12" s="171"/>
      <c r="R12" s="171"/>
    </row>
    <row r="13" spans="1:18" ht="18" customHeight="1" x14ac:dyDescent="0.2">
      <c r="A13" s="325">
        <f>A12+1</f>
        <v>272</v>
      </c>
      <c r="B13" s="878"/>
      <c r="C13" s="326">
        <v>1</v>
      </c>
      <c r="D13" s="327">
        <f>LOOKUP(C13,Cities!A$3:A$343,Cities!B$3:B$343)</f>
        <v>0</v>
      </c>
      <c r="E13" s="332">
        <v>0</v>
      </c>
      <c r="F13" s="332">
        <v>0</v>
      </c>
      <c r="G13" s="331">
        <f t="shared" si="0"/>
        <v>0</v>
      </c>
      <c r="H13" s="914" t="str">
        <f t="shared" si="1"/>
        <v>n/a</v>
      </c>
      <c r="I13" s="332">
        <v>0</v>
      </c>
      <c r="J13" s="914" t="str">
        <f>IF(Overflow!K$6&gt;0,ROUND(I13/Overflow!K$6,6),"n/a")</f>
        <v>n/a</v>
      </c>
      <c r="K13" s="332">
        <v>0</v>
      </c>
      <c r="L13" s="914" t="str">
        <f>IF(Overflow!K$8&gt;0,ROUND(K13/Overflow!K$8,6),"n/a")</f>
        <v>n/a</v>
      </c>
      <c r="M13" s="330">
        <f>IF(Overflow!G$8+Overflow!K$6+Overflow!K$8=0,0,ROUND((IF(H13="n/a",0,H13)+IF(J13="n/a",0,J13)+IF(L13="n/a",0,L13))/N$9,6))</f>
        <v>0</v>
      </c>
      <c r="O13" s="785">
        <f>LOOKUP(C13,Cities!A$3:A$343,Cities!AA$3:AA$343)</f>
        <v>0</v>
      </c>
      <c r="P13" s="171"/>
      <c r="Q13" s="171"/>
      <c r="R13" s="171"/>
    </row>
    <row r="14" spans="1:18" ht="18" customHeight="1" x14ac:dyDescent="0.2">
      <c r="A14" s="325">
        <f t="shared" ref="A14:A56" si="2">A13+1</f>
        <v>273</v>
      </c>
      <c r="B14" s="878"/>
      <c r="C14" s="326">
        <v>1</v>
      </c>
      <c r="D14" s="327">
        <f>LOOKUP(C14,Cities!A$3:A$343,Cities!B$3:B$343)</f>
        <v>0</v>
      </c>
      <c r="E14" s="332">
        <v>0</v>
      </c>
      <c r="F14" s="332">
        <v>0</v>
      </c>
      <c r="G14" s="331">
        <f t="shared" si="0"/>
        <v>0</v>
      </c>
      <c r="H14" s="914" t="str">
        <f t="shared" si="1"/>
        <v>n/a</v>
      </c>
      <c r="I14" s="332">
        <v>0</v>
      </c>
      <c r="J14" s="914" t="str">
        <f>IF(Overflow!K$6&gt;0,ROUND(I14/Overflow!K$6,6),"n/a")</f>
        <v>n/a</v>
      </c>
      <c r="K14" s="332">
        <v>0</v>
      </c>
      <c r="L14" s="914" t="str">
        <f>IF(Overflow!K$8&gt;0,ROUND(K14/Overflow!K$8,6),"n/a")</f>
        <v>n/a</v>
      </c>
      <c r="M14" s="330">
        <f>IF(Overflow!G$8+Overflow!K$6+Overflow!K$8=0,0,ROUND((IF(H14="n/a",0,H14)+IF(J14="n/a",0,J14)+IF(L14="n/a",0,L14))/N$9,6))</f>
        <v>0</v>
      </c>
      <c r="O14" s="785">
        <f>LOOKUP(C14,Cities!A$3:A$343,Cities!AA$3:AA$343)</f>
        <v>0</v>
      </c>
      <c r="P14" s="171"/>
      <c r="Q14" s="171"/>
      <c r="R14" s="171"/>
    </row>
    <row r="15" spans="1:18" ht="18" customHeight="1" x14ac:dyDescent="0.2">
      <c r="A15" s="325">
        <f t="shared" si="2"/>
        <v>274</v>
      </c>
      <c r="B15" s="878"/>
      <c r="C15" s="326">
        <v>1</v>
      </c>
      <c r="D15" s="327">
        <f>LOOKUP(C15,Cities!A$3:A$343,Cities!B$3:B$343)</f>
        <v>0</v>
      </c>
      <c r="E15" s="332">
        <v>0</v>
      </c>
      <c r="F15" s="332">
        <v>0</v>
      </c>
      <c r="G15" s="331">
        <f t="shared" si="0"/>
        <v>0</v>
      </c>
      <c r="H15" s="914" t="str">
        <f t="shared" si="1"/>
        <v>n/a</v>
      </c>
      <c r="I15" s="332">
        <v>0</v>
      </c>
      <c r="J15" s="914" t="str">
        <f>IF(Overflow!K$6&gt;0,ROUND(I15/Overflow!K$6,6),"n/a")</f>
        <v>n/a</v>
      </c>
      <c r="K15" s="332">
        <v>0</v>
      </c>
      <c r="L15" s="914" t="str">
        <f>IF(Overflow!K$8&gt;0,ROUND(K15/Overflow!K$8,6),"n/a")</f>
        <v>n/a</v>
      </c>
      <c r="M15" s="330">
        <f>IF(Overflow!G$8+Overflow!K$6+Overflow!K$8=0,0,ROUND((IF(H15="n/a",0,H15)+IF(J15="n/a",0,J15)+IF(L15="n/a",0,L15))/N$9,6))</f>
        <v>0</v>
      </c>
      <c r="O15" s="785">
        <f>LOOKUP(C15,Cities!A$3:A$343,Cities!AA$3:AA$343)</f>
        <v>0</v>
      </c>
      <c r="P15" s="171"/>
      <c r="Q15" s="171"/>
      <c r="R15" s="171"/>
    </row>
    <row r="16" spans="1:18" ht="18" customHeight="1" x14ac:dyDescent="0.2">
      <c r="A16" s="325">
        <f t="shared" si="2"/>
        <v>275</v>
      </c>
      <c r="B16" s="878"/>
      <c r="C16" s="326">
        <v>1</v>
      </c>
      <c r="D16" s="327">
        <f>LOOKUP(C16,Cities!A$3:A$343,Cities!B$3:B$343)</f>
        <v>0</v>
      </c>
      <c r="E16" s="332">
        <v>0</v>
      </c>
      <c r="F16" s="332">
        <v>0</v>
      </c>
      <c r="G16" s="331">
        <f t="shared" si="0"/>
        <v>0</v>
      </c>
      <c r="H16" s="914" t="str">
        <f t="shared" si="1"/>
        <v>n/a</v>
      </c>
      <c r="I16" s="332">
        <v>0</v>
      </c>
      <c r="J16" s="914" t="str">
        <f>IF(Overflow!K$6&gt;0,ROUND(I16/Overflow!K$6,6),"n/a")</f>
        <v>n/a</v>
      </c>
      <c r="K16" s="332">
        <v>0</v>
      </c>
      <c r="L16" s="914" t="str">
        <f>IF(Overflow!K$8&gt;0,ROUND(K16/Overflow!K$8,6),"n/a")</f>
        <v>n/a</v>
      </c>
      <c r="M16" s="330">
        <f>IF(Overflow!G$8+Overflow!K$6+Overflow!K$8=0,0,ROUND((IF(H16="n/a",0,H16)+IF(J16="n/a",0,J16)+IF(L16="n/a",0,L16))/N$9,6))</f>
        <v>0</v>
      </c>
      <c r="O16" s="785">
        <f>LOOKUP(C16,Cities!A$3:A$343,Cities!AA$3:AA$343)</f>
        <v>0</v>
      </c>
      <c r="P16" s="171"/>
      <c r="Q16" s="171"/>
      <c r="R16" s="171"/>
    </row>
    <row r="17" spans="1:18" ht="18" customHeight="1" x14ac:dyDescent="0.2">
      <c r="A17" s="325">
        <f t="shared" si="2"/>
        <v>276</v>
      </c>
      <c r="B17" s="878"/>
      <c r="C17" s="326">
        <v>1</v>
      </c>
      <c r="D17" s="327">
        <f>LOOKUP(C17,Cities!A$3:A$343,Cities!B$3:B$343)</f>
        <v>0</v>
      </c>
      <c r="E17" s="332">
        <v>0</v>
      </c>
      <c r="F17" s="332">
        <v>0</v>
      </c>
      <c r="G17" s="331">
        <f t="shared" si="0"/>
        <v>0</v>
      </c>
      <c r="H17" s="914" t="str">
        <f t="shared" si="1"/>
        <v>n/a</v>
      </c>
      <c r="I17" s="332">
        <v>0</v>
      </c>
      <c r="J17" s="914" t="str">
        <f>IF(Overflow!K$6&gt;0,ROUND(I17/Overflow!K$6,6),"n/a")</f>
        <v>n/a</v>
      </c>
      <c r="K17" s="332">
        <v>0</v>
      </c>
      <c r="L17" s="914" t="str">
        <f>IF(Overflow!K$8&gt;0,ROUND(K17/Overflow!K$8,6),"n/a")</f>
        <v>n/a</v>
      </c>
      <c r="M17" s="330">
        <f>IF(Overflow!G$8+Overflow!K$6+Overflow!K$8=0,0,ROUND((IF(H17="n/a",0,H17)+IF(J17="n/a",0,J17)+IF(L17="n/a",0,L17))/N$9,6))</f>
        <v>0</v>
      </c>
      <c r="O17" s="785">
        <f>LOOKUP(C17,Cities!A$3:A$343,Cities!AA$3:AA$343)</f>
        <v>0</v>
      </c>
      <c r="P17" s="171"/>
      <c r="Q17" s="171"/>
      <c r="R17" s="171"/>
    </row>
    <row r="18" spans="1:18" ht="18" customHeight="1" x14ac:dyDescent="0.2">
      <c r="A18" s="325">
        <f t="shared" si="2"/>
        <v>277</v>
      </c>
      <c r="B18" s="878"/>
      <c r="C18" s="326">
        <v>1</v>
      </c>
      <c r="D18" s="327">
        <f>LOOKUP(C18,Cities!A$3:A$343,Cities!B$3:B$343)</f>
        <v>0</v>
      </c>
      <c r="E18" s="332">
        <v>0</v>
      </c>
      <c r="F18" s="332">
        <v>0</v>
      </c>
      <c r="G18" s="331">
        <f t="shared" si="0"/>
        <v>0</v>
      </c>
      <c r="H18" s="914" t="str">
        <f t="shared" si="1"/>
        <v>n/a</v>
      </c>
      <c r="I18" s="332">
        <v>0</v>
      </c>
      <c r="J18" s="914" t="str">
        <f>IF(Overflow!K$6&gt;0,ROUND(I18/Overflow!K$6,6),"n/a")</f>
        <v>n/a</v>
      </c>
      <c r="K18" s="332">
        <v>0</v>
      </c>
      <c r="L18" s="914" t="str">
        <f>IF(Overflow!K$8&gt;0,ROUND(K18/Overflow!K$8,6),"n/a")</f>
        <v>n/a</v>
      </c>
      <c r="M18" s="330">
        <f>IF(Overflow!G$8+Overflow!K$6+Overflow!K$8=0,0,ROUND((IF(H18="n/a",0,H18)+IF(J18="n/a",0,J18)+IF(L18="n/a",0,L18))/N$9,6))</f>
        <v>0</v>
      </c>
      <c r="O18" s="785">
        <f>LOOKUP(C18,Cities!A$3:A$343,Cities!AA$3:AA$343)</f>
        <v>0</v>
      </c>
      <c r="P18" s="171"/>
      <c r="Q18" s="171"/>
      <c r="R18" s="171"/>
    </row>
    <row r="19" spans="1:18" ht="18" customHeight="1" x14ac:dyDescent="0.2">
      <c r="A19" s="325">
        <f t="shared" si="2"/>
        <v>278</v>
      </c>
      <c r="B19" s="878"/>
      <c r="C19" s="326">
        <v>1</v>
      </c>
      <c r="D19" s="327">
        <f>LOOKUP(C19,Cities!A$3:A$343,Cities!B$3:B$343)</f>
        <v>0</v>
      </c>
      <c r="E19" s="332">
        <v>0</v>
      </c>
      <c r="F19" s="332">
        <v>0</v>
      </c>
      <c r="G19" s="331">
        <f t="shared" si="0"/>
        <v>0</v>
      </c>
      <c r="H19" s="914" t="str">
        <f t="shared" si="1"/>
        <v>n/a</v>
      </c>
      <c r="I19" s="332">
        <v>0</v>
      </c>
      <c r="J19" s="914" t="str">
        <f>IF(Overflow!K$6&gt;0,ROUND(I19/Overflow!K$6,6),"n/a")</f>
        <v>n/a</v>
      </c>
      <c r="K19" s="332">
        <v>0</v>
      </c>
      <c r="L19" s="914" t="str">
        <f>IF(Overflow!K$8&gt;0,ROUND(K19/Overflow!K$8,6),"n/a")</f>
        <v>n/a</v>
      </c>
      <c r="M19" s="330">
        <f>IF(Overflow!G$8+Overflow!K$6+Overflow!K$8=0,0,ROUND((IF(H19="n/a",0,H19)+IF(J19="n/a",0,J19)+IF(L19="n/a",0,L19))/N$9,6))</f>
        <v>0</v>
      </c>
      <c r="O19" s="785">
        <f>LOOKUP(C19,Cities!A$3:A$343,Cities!AA$3:AA$343)</f>
        <v>0</v>
      </c>
      <c r="P19" s="171"/>
      <c r="Q19" s="171"/>
      <c r="R19" s="171"/>
    </row>
    <row r="20" spans="1:18" ht="18" customHeight="1" x14ac:dyDescent="0.2">
      <c r="A20" s="325">
        <f t="shared" si="2"/>
        <v>279</v>
      </c>
      <c r="B20" s="878"/>
      <c r="C20" s="326">
        <v>1</v>
      </c>
      <c r="D20" s="327">
        <f>LOOKUP(C20,Cities!A$3:A$343,Cities!B$3:B$343)</f>
        <v>0</v>
      </c>
      <c r="E20" s="332">
        <v>0</v>
      </c>
      <c r="F20" s="332">
        <v>0</v>
      </c>
      <c r="G20" s="331">
        <f t="shared" si="0"/>
        <v>0</v>
      </c>
      <c r="H20" s="914" t="str">
        <f t="shared" si="1"/>
        <v>n/a</v>
      </c>
      <c r="I20" s="332">
        <v>0</v>
      </c>
      <c r="J20" s="914" t="str">
        <f>IF(Overflow!K$6&gt;0,ROUND(I20/Overflow!K$6,6),"n/a")</f>
        <v>n/a</v>
      </c>
      <c r="K20" s="332">
        <v>0</v>
      </c>
      <c r="L20" s="914" t="str">
        <f>IF(Overflow!K$8&gt;0,ROUND(K20/Overflow!K$8,6),"n/a")</f>
        <v>n/a</v>
      </c>
      <c r="M20" s="330">
        <f>IF(Overflow!G$8+Overflow!K$6+Overflow!K$8=0,0,ROUND((IF(H20="n/a",0,H20)+IF(J20="n/a",0,J20)+IF(L20="n/a",0,L20))/N$9,6))</f>
        <v>0</v>
      </c>
      <c r="O20" s="785">
        <f>LOOKUP(C20,Cities!A$3:A$343,Cities!AA$3:AA$343)</f>
        <v>0</v>
      </c>
      <c r="P20" s="171"/>
      <c r="Q20" s="171"/>
      <c r="R20" s="171"/>
    </row>
    <row r="21" spans="1:18" ht="18" customHeight="1" x14ac:dyDescent="0.2">
      <c r="A21" s="325">
        <f t="shared" si="2"/>
        <v>280</v>
      </c>
      <c r="B21" s="878"/>
      <c r="C21" s="326">
        <v>1</v>
      </c>
      <c r="D21" s="327">
        <f>LOOKUP(C21,Cities!A$3:A$343,Cities!B$3:B$343)</f>
        <v>0</v>
      </c>
      <c r="E21" s="332">
        <v>0</v>
      </c>
      <c r="F21" s="332">
        <v>0</v>
      </c>
      <c r="G21" s="331">
        <f t="shared" si="0"/>
        <v>0</v>
      </c>
      <c r="H21" s="914" t="str">
        <f t="shared" si="1"/>
        <v>n/a</v>
      </c>
      <c r="I21" s="332">
        <v>0</v>
      </c>
      <c r="J21" s="914" t="str">
        <f>IF(Overflow!K$6&gt;0,ROUND(I21/Overflow!K$6,6),"n/a")</f>
        <v>n/a</v>
      </c>
      <c r="K21" s="332">
        <v>0</v>
      </c>
      <c r="L21" s="914" t="str">
        <f>IF(Overflow!K$8&gt;0,ROUND(K21/Overflow!K$8,6),"n/a")</f>
        <v>n/a</v>
      </c>
      <c r="M21" s="330">
        <f>IF(Overflow!G$8+Overflow!K$6+Overflow!K$8=0,0,ROUND((IF(H21="n/a",0,H21)+IF(J21="n/a",0,J21)+IF(L21="n/a",0,L21))/N$9,6))</f>
        <v>0</v>
      </c>
      <c r="O21" s="785">
        <f>LOOKUP(C21,Cities!A$3:A$343,Cities!AA$3:AA$343)</f>
        <v>0</v>
      </c>
      <c r="P21" s="171"/>
      <c r="Q21" s="171"/>
      <c r="R21" s="171"/>
    </row>
    <row r="22" spans="1:18" ht="18" customHeight="1" x14ac:dyDescent="0.2">
      <c r="A22" s="325">
        <f t="shared" si="2"/>
        <v>281</v>
      </c>
      <c r="B22" s="878"/>
      <c r="C22" s="326">
        <v>1</v>
      </c>
      <c r="D22" s="327">
        <f>LOOKUP(C22,Cities!A$3:A$343,Cities!B$3:B$343)</f>
        <v>0</v>
      </c>
      <c r="E22" s="332">
        <v>0</v>
      </c>
      <c r="F22" s="332">
        <v>0</v>
      </c>
      <c r="G22" s="331">
        <f t="shared" si="0"/>
        <v>0</v>
      </c>
      <c r="H22" s="914" t="str">
        <f t="shared" si="1"/>
        <v>n/a</v>
      </c>
      <c r="I22" s="332">
        <v>0</v>
      </c>
      <c r="J22" s="914" t="str">
        <f>IF(Overflow!K$6&gt;0,ROUND(I22/Overflow!K$6,6),"n/a")</f>
        <v>n/a</v>
      </c>
      <c r="K22" s="332">
        <v>0</v>
      </c>
      <c r="L22" s="914" t="str">
        <f>IF(Overflow!K$8&gt;0,ROUND(K22/Overflow!K$8,6),"n/a")</f>
        <v>n/a</v>
      </c>
      <c r="M22" s="330">
        <f>IF(Overflow!G$8+Overflow!K$6+Overflow!K$8=0,0,ROUND((IF(H22="n/a",0,H22)+IF(J22="n/a",0,J22)+IF(L22="n/a",0,L22))/N$9,6))</f>
        <v>0</v>
      </c>
      <c r="O22" s="785">
        <f>LOOKUP(C22,Cities!A$3:A$343,Cities!AA$3:AA$343)</f>
        <v>0</v>
      </c>
      <c r="P22" s="171"/>
      <c r="Q22" s="171"/>
      <c r="R22" s="171"/>
    </row>
    <row r="23" spans="1:18" ht="18" customHeight="1" x14ac:dyDescent="0.2">
      <c r="A23" s="325">
        <f t="shared" si="2"/>
        <v>282</v>
      </c>
      <c r="B23" s="878"/>
      <c r="C23" s="326">
        <v>1</v>
      </c>
      <c r="D23" s="327">
        <f>LOOKUP(C23,Cities!A$3:A$343,Cities!B$3:B$343)</f>
        <v>0</v>
      </c>
      <c r="E23" s="332">
        <v>0</v>
      </c>
      <c r="F23" s="332">
        <v>0</v>
      </c>
      <c r="G23" s="331">
        <f t="shared" si="0"/>
        <v>0</v>
      </c>
      <c r="H23" s="914" t="str">
        <f t="shared" si="1"/>
        <v>n/a</v>
      </c>
      <c r="I23" s="332">
        <v>0</v>
      </c>
      <c r="J23" s="914" t="str">
        <f>IF(Overflow!K$6&gt;0,ROUND(I23/Overflow!K$6,6),"n/a")</f>
        <v>n/a</v>
      </c>
      <c r="K23" s="332">
        <v>0</v>
      </c>
      <c r="L23" s="914" t="str">
        <f>IF(Overflow!K$8&gt;0,ROUND(K23/Overflow!K$8,6),"n/a")</f>
        <v>n/a</v>
      </c>
      <c r="M23" s="330">
        <f>IF(Overflow!G$8+Overflow!K$6+Overflow!K$8=0,0,ROUND((IF(H23="n/a",0,H23)+IF(J23="n/a",0,J23)+IF(L23="n/a",0,L23))/N$9,6))</f>
        <v>0</v>
      </c>
      <c r="O23" s="785">
        <f>LOOKUP(C23,Cities!A$3:A$343,Cities!AA$3:AA$343)</f>
        <v>0</v>
      </c>
      <c r="P23" s="171"/>
      <c r="Q23" s="171"/>
      <c r="R23" s="171"/>
    </row>
    <row r="24" spans="1:18" ht="18" customHeight="1" x14ac:dyDescent="0.2">
      <c r="A24" s="325">
        <f t="shared" si="2"/>
        <v>283</v>
      </c>
      <c r="B24" s="878"/>
      <c r="C24" s="326">
        <v>1</v>
      </c>
      <c r="D24" s="327">
        <f>LOOKUP(C24,Cities!A$3:A$343,Cities!B$3:B$343)</f>
        <v>0</v>
      </c>
      <c r="E24" s="332"/>
      <c r="F24" s="332"/>
      <c r="G24" s="331">
        <f t="shared" si="0"/>
        <v>0</v>
      </c>
      <c r="H24" s="914" t="str">
        <f t="shared" si="1"/>
        <v>n/a</v>
      </c>
      <c r="I24" s="332"/>
      <c r="J24" s="914" t="str">
        <f>IF(Overflow!K$6&gt;0,ROUND(I24/Overflow!K$6,6),"n/a")</f>
        <v>n/a</v>
      </c>
      <c r="K24" s="332"/>
      <c r="L24" s="914" t="str">
        <f>IF(Overflow!K$8&gt;0,ROUND(K24/Overflow!K$8,6),"n/a")</f>
        <v>n/a</v>
      </c>
      <c r="M24" s="330">
        <f>IF(Overflow!G$8+Overflow!K$6+Overflow!K$8=0,0,ROUND((IF(H24="n/a",0,H24)+IF(J24="n/a",0,J24)+IF(L24="n/a",0,L24))/N$9,6))</f>
        <v>0</v>
      </c>
      <c r="O24" s="785">
        <f>LOOKUP(C24,Cities!A$3:A$343,Cities!AA$3:AA$343)</f>
        <v>0</v>
      </c>
      <c r="P24" s="171"/>
      <c r="Q24" s="171"/>
      <c r="R24" s="171"/>
    </row>
    <row r="25" spans="1:18" ht="18" customHeight="1" x14ac:dyDescent="0.2">
      <c r="A25" s="325">
        <f t="shared" si="2"/>
        <v>284</v>
      </c>
      <c r="B25" s="878"/>
      <c r="C25" s="326">
        <v>1</v>
      </c>
      <c r="D25" s="327">
        <f>LOOKUP(C25,Cities!A$3:A$343,Cities!B$3:B$343)</f>
        <v>0</v>
      </c>
      <c r="E25" s="332"/>
      <c r="F25" s="332"/>
      <c r="G25" s="331">
        <f t="shared" si="0"/>
        <v>0</v>
      </c>
      <c r="H25" s="914" t="str">
        <f t="shared" si="1"/>
        <v>n/a</v>
      </c>
      <c r="I25" s="332"/>
      <c r="J25" s="914" t="str">
        <f>IF(Overflow!K$6&gt;0,ROUND(I25/Overflow!K$6,6),"n/a")</f>
        <v>n/a</v>
      </c>
      <c r="K25" s="332"/>
      <c r="L25" s="914" t="str">
        <f>IF(Overflow!K$8&gt;0,ROUND(K25/Overflow!K$8,6),"n/a")</f>
        <v>n/a</v>
      </c>
      <c r="M25" s="330">
        <f>IF(Overflow!G$8+Overflow!K$6+Overflow!K$8=0,0,ROUND((IF(H25="n/a",0,H25)+IF(J25="n/a",0,J25)+IF(L25="n/a",0,L25))/N$9,6))</f>
        <v>0</v>
      </c>
      <c r="O25" s="785">
        <f>LOOKUP(C25,Cities!A$3:A$343,Cities!AA$3:AA$343)</f>
        <v>0</v>
      </c>
      <c r="P25" s="171"/>
      <c r="Q25" s="171"/>
      <c r="R25" s="171"/>
    </row>
    <row r="26" spans="1:18" ht="18" customHeight="1" x14ac:dyDescent="0.2">
      <c r="A26" s="325">
        <f t="shared" si="2"/>
        <v>285</v>
      </c>
      <c r="B26" s="878"/>
      <c r="C26" s="326">
        <v>1</v>
      </c>
      <c r="D26" s="327">
        <f>LOOKUP(C26,Cities!A$3:A$343,Cities!B$3:B$343)</f>
        <v>0</v>
      </c>
      <c r="E26" s="332"/>
      <c r="F26" s="332"/>
      <c r="G26" s="331">
        <f t="shared" si="0"/>
        <v>0</v>
      </c>
      <c r="H26" s="914" t="str">
        <f t="shared" si="1"/>
        <v>n/a</v>
      </c>
      <c r="I26" s="332"/>
      <c r="J26" s="914" t="str">
        <f>IF(Overflow!K$6&gt;0,ROUND(I26/Overflow!K$6,6),"n/a")</f>
        <v>n/a</v>
      </c>
      <c r="K26" s="332"/>
      <c r="L26" s="914" t="str">
        <f>IF(Overflow!K$8&gt;0,ROUND(K26/Overflow!K$8,6),"n/a")</f>
        <v>n/a</v>
      </c>
      <c r="M26" s="330">
        <f>IF(Overflow!G$8+Overflow!K$6+Overflow!K$8=0,0,ROUND((IF(H26="n/a",0,H26)+IF(J26="n/a",0,J26)+IF(L26="n/a",0,L26))/N$9,6))</f>
        <v>0</v>
      </c>
      <c r="O26" s="785">
        <f>LOOKUP(C26,Cities!A$3:A$343,Cities!AA$3:AA$343)</f>
        <v>0</v>
      </c>
      <c r="P26" s="171"/>
      <c r="Q26" s="171"/>
      <c r="R26" s="171"/>
    </row>
    <row r="27" spans="1:18" s="67" customFormat="1" ht="18" customHeight="1" x14ac:dyDescent="0.2">
      <c r="A27" s="325">
        <f t="shared" si="2"/>
        <v>286</v>
      </c>
      <c r="B27" s="878"/>
      <c r="C27" s="326">
        <v>1</v>
      </c>
      <c r="D27" s="327">
        <f>LOOKUP(C27,Cities!A$3:A$343,Cities!B$3:B$343)</f>
        <v>0</v>
      </c>
      <c r="E27" s="332"/>
      <c r="F27" s="332"/>
      <c r="G27" s="331">
        <f t="shared" si="0"/>
        <v>0</v>
      </c>
      <c r="H27" s="914" t="str">
        <f t="shared" si="1"/>
        <v>n/a</v>
      </c>
      <c r="I27" s="332"/>
      <c r="J27" s="914" t="str">
        <f>IF(Overflow!K$6&gt;0,ROUND(I27/Overflow!K$6,6),"n/a")</f>
        <v>n/a</v>
      </c>
      <c r="K27" s="332"/>
      <c r="L27" s="914" t="str">
        <f>IF(Overflow!K$8&gt;0,ROUND(K27/Overflow!K$8,6),"n/a")</f>
        <v>n/a</v>
      </c>
      <c r="M27" s="330">
        <f>IF(Overflow!G$8+Overflow!K$6+Overflow!K$8=0,0,ROUND((IF(H27="n/a",0,H27)+IF(J27="n/a",0,J27)+IF(L27="n/a",0,L27))/N$9,6))</f>
        <v>0</v>
      </c>
      <c r="O27" s="785">
        <f>LOOKUP(C27,Cities!A$3:A$343,Cities!AA$3:AA$343)</f>
        <v>0</v>
      </c>
      <c r="P27" s="345"/>
      <c r="Q27" s="345"/>
      <c r="R27" s="345"/>
    </row>
    <row r="28" spans="1:18" s="67" customFormat="1" ht="18" customHeight="1" x14ac:dyDescent="0.2">
      <c r="A28" s="325">
        <f t="shared" si="2"/>
        <v>287</v>
      </c>
      <c r="B28" s="878"/>
      <c r="C28" s="326">
        <v>1</v>
      </c>
      <c r="D28" s="327">
        <f>LOOKUP(C28,Cities!A$3:A$343,Cities!B$3:B$343)</f>
        <v>0</v>
      </c>
      <c r="E28" s="332"/>
      <c r="F28" s="332"/>
      <c r="G28" s="331">
        <f t="shared" si="0"/>
        <v>0</v>
      </c>
      <c r="H28" s="914" t="str">
        <f t="shared" si="1"/>
        <v>n/a</v>
      </c>
      <c r="I28" s="332"/>
      <c r="J28" s="914" t="str">
        <f>IF(Overflow!K$6&gt;0,ROUND(I28/Overflow!K$6,6),"n/a")</f>
        <v>n/a</v>
      </c>
      <c r="K28" s="332"/>
      <c r="L28" s="914" t="str">
        <f>IF(Overflow!K$8&gt;0,ROUND(K28/Overflow!K$8,6),"n/a")</f>
        <v>n/a</v>
      </c>
      <c r="M28" s="330">
        <f>IF(Overflow!G$8+Overflow!K$6+Overflow!K$8=0,0,ROUND((IF(H28="n/a",0,H28)+IF(J28="n/a",0,J28)+IF(L28="n/a",0,L28))/N$9,6))</f>
        <v>0</v>
      </c>
      <c r="O28" s="785">
        <f>LOOKUP(C28,Cities!A$3:A$343,Cities!AA$3:AA$343)</f>
        <v>0</v>
      </c>
      <c r="P28" s="345"/>
      <c r="Q28" s="345"/>
      <c r="R28" s="345"/>
    </row>
    <row r="29" spans="1:18" s="67" customFormat="1" ht="18" customHeight="1" x14ac:dyDescent="0.2">
      <c r="A29" s="325">
        <f t="shared" si="2"/>
        <v>288</v>
      </c>
      <c r="B29" s="878"/>
      <c r="C29" s="326">
        <v>1</v>
      </c>
      <c r="D29" s="327">
        <f>LOOKUP(C29,Cities!A$3:A$343,Cities!B$3:B$343)</f>
        <v>0</v>
      </c>
      <c r="E29" s="332"/>
      <c r="F29" s="332"/>
      <c r="G29" s="331">
        <f t="shared" si="0"/>
        <v>0</v>
      </c>
      <c r="H29" s="914" t="str">
        <f t="shared" si="1"/>
        <v>n/a</v>
      </c>
      <c r="I29" s="332"/>
      <c r="J29" s="914" t="str">
        <f>IF(Overflow!K$6&gt;0,ROUND(I29/Overflow!K$6,6),"n/a")</f>
        <v>n/a</v>
      </c>
      <c r="K29" s="332"/>
      <c r="L29" s="914" t="str">
        <f>IF(Overflow!K$8&gt;0,ROUND(K29/Overflow!K$8,6),"n/a")</f>
        <v>n/a</v>
      </c>
      <c r="M29" s="330">
        <f>IF(Overflow!G$8+Overflow!K$6+Overflow!K$8=0,0,ROUND((IF(H29="n/a",0,H29)+IF(J29="n/a",0,J29)+IF(L29="n/a",0,L29))/N$9,6))</f>
        <v>0</v>
      </c>
      <c r="O29" s="785">
        <f>LOOKUP(C29,Cities!A$3:A$343,Cities!AA$3:AA$343)</f>
        <v>0</v>
      </c>
      <c r="P29" s="345"/>
      <c r="Q29" s="345"/>
      <c r="R29" s="345"/>
    </row>
    <row r="30" spans="1:18" s="67" customFormat="1" ht="18" customHeight="1" x14ac:dyDescent="0.2">
      <c r="A30" s="325">
        <f t="shared" si="2"/>
        <v>289</v>
      </c>
      <c r="B30" s="878"/>
      <c r="C30" s="326">
        <v>1</v>
      </c>
      <c r="D30" s="327">
        <f>LOOKUP(C30,Cities!A$3:A$343,Cities!B$3:B$343)</f>
        <v>0</v>
      </c>
      <c r="E30" s="332"/>
      <c r="F30" s="332"/>
      <c r="G30" s="331">
        <f t="shared" si="0"/>
        <v>0</v>
      </c>
      <c r="H30" s="914" t="str">
        <f t="shared" si="1"/>
        <v>n/a</v>
      </c>
      <c r="I30" s="332"/>
      <c r="J30" s="914" t="str">
        <f>IF(Overflow!K$6&gt;0,ROUND(I30/Overflow!K$6,6),"n/a")</f>
        <v>n/a</v>
      </c>
      <c r="K30" s="332"/>
      <c r="L30" s="914" t="str">
        <f>IF(Overflow!K$8&gt;0,ROUND(K30/Overflow!K$8,6),"n/a")</f>
        <v>n/a</v>
      </c>
      <c r="M30" s="330">
        <f>IF(Overflow!G$8+Overflow!K$6+Overflow!K$8=0,0,ROUND((IF(H30="n/a",0,H30)+IF(J30="n/a",0,J30)+IF(L30="n/a",0,L30))/N$9,6))</f>
        <v>0</v>
      </c>
      <c r="O30" s="785">
        <f>LOOKUP(C30,Cities!A$3:A$343,Cities!AA$3:AA$343)</f>
        <v>0</v>
      </c>
      <c r="P30" s="345"/>
      <c r="Q30" s="345"/>
      <c r="R30" s="345"/>
    </row>
    <row r="31" spans="1:18" s="67" customFormat="1" ht="18" customHeight="1" x14ac:dyDescent="0.2">
      <c r="A31" s="325">
        <f t="shared" si="2"/>
        <v>290</v>
      </c>
      <c r="B31" s="878"/>
      <c r="C31" s="326">
        <v>1</v>
      </c>
      <c r="D31" s="327">
        <f>LOOKUP(C31,Cities!A$3:A$343,Cities!B$3:B$343)</f>
        <v>0</v>
      </c>
      <c r="E31" s="332"/>
      <c r="F31" s="332"/>
      <c r="G31" s="331">
        <f t="shared" si="0"/>
        <v>0</v>
      </c>
      <c r="H31" s="914" t="str">
        <f t="shared" si="1"/>
        <v>n/a</v>
      </c>
      <c r="I31" s="332"/>
      <c r="J31" s="914" t="str">
        <f>IF(Overflow!K$6&gt;0,ROUND(I31/Overflow!K$6,6),"n/a")</f>
        <v>n/a</v>
      </c>
      <c r="K31" s="332"/>
      <c r="L31" s="914" t="str">
        <f>IF(Overflow!K$8&gt;0,ROUND(K31/Overflow!K$8,6),"n/a")</f>
        <v>n/a</v>
      </c>
      <c r="M31" s="330">
        <f>IF(Overflow!G$8+Overflow!K$6+Overflow!K$8=0,0,ROUND((IF(H31="n/a",0,H31)+IF(J31="n/a",0,J31)+IF(L31="n/a",0,L31))/N$9,6))</f>
        <v>0</v>
      </c>
      <c r="O31" s="785">
        <f>LOOKUP(C31,Cities!A$3:A$343,Cities!AA$3:AA$343)</f>
        <v>0</v>
      </c>
      <c r="P31" s="345"/>
      <c r="Q31" s="345"/>
      <c r="R31" s="345"/>
    </row>
    <row r="32" spans="1:18" s="67" customFormat="1" ht="18" customHeight="1" x14ac:dyDescent="0.2">
      <c r="A32" s="325">
        <f t="shared" si="2"/>
        <v>291</v>
      </c>
      <c r="B32" s="878"/>
      <c r="C32" s="326">
        <v>1</v>
      </c>
      <c r="D32" s="327">
        <f>LOOKUP(C32,Cities!A$3:A$343,Cities!B$3:B$343)</f>
        <v>0</v>
      </c>
      <c r="E32" s="332"/>
      <c r="F32" s="332"/>
      <c r="G32" s="331">
        <f t="shared" si="0"/>
        <v>0</v>
      </c>
      <c r="H32" s="914" t="str">
        <f t="shared" si="1"/>
        <v>n/a</v>
      </c>
      <c r="I32" s="332"/>
      <c r="J32" s="914" t="str">
        <f>IF(Overflow!K$6&gt;0,ROUND(I32/Overflow!K$6,6),"n/a")</f>
        <v>n/a</v>
      </c>
      <c r="K32" s="332"/>
      <c r="L32" s="914" t="str">
        <f>IF(Overflow!K$8&gt;0,ROUND(K32/Overflow!K$8,6),"n/a")</f>
        <v>n/a</v>
      </c>
      <c r="M32" s="330">
        <f>IF(Overflow!G$8+Overflow!K$6+Overflow!K$8=0,0,ROUND((IF(H32="n/a",0,H32)+IF(J32="n/a",0,J32)+IF(L32="n/a",0,L32))/N$9,6))</f>
        <v>0</v>
      </c>
      <c r="O32" s="785">
        <f>LOOKUP(C32,Cities!A$3:A$343,Cities!AA$3:AA$343)</f>
        <v>0</v>
      </c>
      <c r="P32" s="345"/>
      <c r="Q32" s="345"/>
      <c r="R32" s="345"/>
    </row>
    <row r="33" spans="1:18" s="67" customFormat="1" ht="18" customHeight="1" x14ac:dyDescent="0.2">
      <c r="A33" s="325">
        <f t="shared" si="2"/>
        <v>292</v>
      </c>
      <c r="B33" s="878"/>
      <c r="C33" s="326">
        <v>1</v>
      </c>
      <c r="D33" s="327">
        <f>LOOKUP(C33,Cities!A$3:A$343,Cities!B$3:B$343)</f>
        <v>0</v>
      </c>
      <c r="E33" s="332"/>
      <c r="F33" s="332"/>
      <c r="G33" s="331">
        <f t="shared" si="0"/>
        <v>0</v>
      </c>
      <c r="H33" s="914" t="str">
        <f t="shared" si="1"/>
        <v>n/a</v>
      </c>
      <c r="I33" s="332"/>
      <c r="J33" s="914" t="str">
        <f>IF(Overflow!K$6&gt;0,ROUND(I33/Overflow!K$6,6),"n/a")</f>
        <v>n/a</v>
      </c>
      <c r="K33" s="332"/>
      <c r="L33" s="914" t="str">
        <f>IF(Overflow!K$8&gt;0,ROUND(K33/Overflow!K$8,6),"n/a")</f>
        <v>n/a</v>
      </c>
      <c r="M33" s="330">
        <f>IF(Overflow!G$8+Overflow!K$6+Overflow!K$8=0,0,ROUND((IF(H33="n/a",0,H33)+IF(J33="n/a",0,J33)+IF(L33="n/a",0,L33))/N$9,6))</f>
        <v>0</v>
      </c>
      <c r="O33" s="785">
        <f>LOOKUP(C33,Cities!A$3:A$343,Cities!AA$3:AA$343)</f>
        <v>0</v>
      </c>
      <c r="P33" s="345"/>
      <c r="Q33" s="345"/>
      <c r="R33" s="345"/>
    </row>
    <row r="34" spans="1:18" s="67" customFormat="1" ht="18" customHeight="1" x14ac:dyDescent="0.2">
      <c r="A34" s="325">
        <f t="shared" si="2"/>
        <v>293</v>
      </c>
      <c r="B34" s="878"/>
      <c r="C34" s="326">
        <v>1</v>
      </c>
      <c r="D34" s="327">
        <f>LOOKUP(C34,Cities!A$3:A$343,Cities!B$3:B$343)</f>
        <v>0</v>
      </c>
      <c r="E34" s="332"/>
      <c r="F34" s="332"/>
      <c r="G34" s="331">
        <f t="shared" si="0"/>
        <v>0</v>
      </c>
      <c r="H34" s="914" t="str">
        <f t="shared" si="1"/>
        <v>n/a</v>
      </c>
      <c r="I34" s="332"/>
      <c r="J34" s="914" t="str">
        <f>IF(Overflow!K$6&gt;0,ROUND(I34/Overflow!K$6,6),"n/a")</f>
        <v>n/a</v>
      </c>
      <c r="K34" s="332"/>
      <c r="L34" s="914" t="str">
        <f>IF(Overflow!K$8&gt;0,ROUND(K34/Overflow!K$8,6),"n/a")</f>
        <v>n/a</v>
      </c>
      <c r="M34" s="330">
        <f>IF(Overflow!G$8+Overflow!K$6+Overflow!K$8=0,0,ROUND((IF(H34="n/a",0,H34)+IF(J34="n/a",0,J34)+IF(L34="n/a",0,L34))/N$9,6))</f>
        <v>0</v>
      </c>
      <c r="O34" s="785">
        <f>LOOKUP(C34,Cities!A$3:A$343,Cities!AA$3:AA$343)</f>
        <v>0</v>
      </c>
      <c r="P34" s="345"/>
      <c r="Q34" s="345"/>
      <c r="R34" s="345"/>
    </row>
    <row r="35" spans="1:18" s="67" customFormat="1" ht="18" customHeight="1" x14ac:dyDescent="0.2">
      <c r="A35" s="325">
        <f t="shared" si="2"/>
        <v>294</v>
      </c>
      <c r="B35" s="878"/>
      <c r="C35" s="326">
        <v>1</v>
      </c>
      <c r="D35" s="327">
        <f>LOOKUP(C35,Cities!A$3:A$343,Cities!B$3:B$343)</f>
        <v>0</v>
      </c>
      <c r="E35" s="332"/>
      <c r="F35" s="332"/>
      <c r="G35" s="331">
        <f t="shared" si="0"/>
        <v>0</v>
      </c>
      <c r="H35" s="914" t="str">
        <f t="shared" si="1"/>
        <v>n/a</v>
      </c>
      <c r="I35" s="332"/>
      <c r="J35" s="914" t="str">
        <f>IF(Overflow!K$6&gt;0,ROUND(I35/Overflow!K$6,6),"n/a")</f>
        <v>n/a</v>
      </c>
      <c r="K35" s="332"/>
      <c r="L35" s="914" t="str">
        <f>IF(Overflow!K$8&gt;0,ROUND(K35/Overflow!K$8,6),"n/a")</f>
        <v>n/a</v>
      </c>
      <c r="M35" s="330">
        <f>IF(Overflow!G$8+Overflow!K$6+Overflow!K$8=0,0,ROUND((IF(H35="n/a",0,H35)+IF(J35="n/a",0,J35)+IF(L35="n/a",0,L35))/N$9,6))</f>
        <v>0</v>
      </c>
      <c r="O35" s="785">
        <f>LOOKUP(C35,Cities!A$3:A$343,Cities!AA$3:AA$343)</f>
        <v>0</v>
      </c>
      <c r="P35" s="345"/>
      <c r="Q35" s="345"/>
      <c r="R35" s="345"/>
    </row>
    <row r="36" spans="1:18" s="67" customFormat="1" ht="18" customHeight="1" x14ac:dyDescent="0.2">
      <c r="A36" s="325">
        <f t="shared" si="2"/>
        <v>295</v>
      </c>
      <c r="B36" s="878"/>
      <c r="C36" s="326">
        <v>1</v>
      </c>
      <c r="D36" s="327">
        <f>LOOKUP(C36,Cities!A$3:A$343,Cities!B$3:B$343)</f>
        <v>0</v>
      </c>
      <c r="E36" s="332"/>
      <c r="F36" s="332"/>
      <c r="G36" s="331">
        <f t="shared" si="0"/>
        <v>0</v>
      </c>
      <c r="H36" s="914" t="str">
        <f t="shared" si="1"/>
        <v>n/a</v>
      </c>
      <c r="I36" s="332"/>
      <c r="J36" s="914" t="str">
        <f>IF(Overflow!K$6&gt;0,ROUND(I36/Overflow!K$6,6),"n/a")</f>
        <v>n/a</v>
      </c>
      <c r="K36" s="332"/>
      <c r="L36" s="914" t="str">
        <f>IF(Overflow!K$8&gt;0,ROUND(K36/Overflow!K$8,6),"n/a")</f>
        <v>n/a</v>
      </c>
      <c r="M36" s="330">
        <f>IF(Overflow!G$8+Overflow!K$6+Overflow!K$8=0,0,ROUND((IF(H36="n/a",0,H36)+IF(J36="n/a",0,J36)+IF(L36="n/a",0,L36))/N$9,6))</f>
        <v>0</v>
      </c>
      <c r="O36" s="785">
        <f>LOOKUP(C36,Cities!A$3:A$343,Cities!AA$3:AA$343)</f>
        <v>0</v>
      </c>
      <c r="P36" s="345"/>
      <c r="Q36" s="345"/>
      <c r="R36" s="345"/>
    </row>
    <row r="37" spans="1:18" s="67" customFormat="1" ht="18" customHeight="1" x14ac:dyDescent="0.2">
      <c r="A37" s="325">
        <f t="shared" si="2"/>
        <v>296</v>
      </c>
      <c r="B37" s="878"/>
      <c r="C37" s="326">
        <v>1</v>
      </c>
      <c r="D37" s="327">
        <f>LOOKUP(C37,Cities!A$3:A$343,Cities!B$3:B$343)</f>
        <v>0</v>
      </c>
      <c r="E37" s="332"/>
      <c r="F37" s="332"/>
      <c r="G37" s="331">
        <f t="shared" si="0"/>
        <v>0</v>
      </c>
      <c r="H37" s="914" t="str">
        <f t="shared" si="1"/>
        <v>n/a</v>
      </c>
      <c r="I37" s="332"/>
      <c r="J37" s="914" t="str">
        <f>IF(Overflow!K$6&gt;0,ROUND(I37/Overflow!K$6,6),"n/a")</f>
        <v>n/a</v>
      </c>
      <c r="K37" s="332"/>
      <c r="L37" s="914" t="str">
        <f>IF(Overflow!K$8&gt;0,ROUND(K37/Overflow!K$8,6),"n/a")</f>
        <v>n/a</v>
      </c>
      <c r="M37" s="330">
        <f>IF(Overflow!G$8+Overflow!K$6+Overflow!K$8=0,0,ROUND((IF(H37="n/a",0,H37)+IF(J37="n/a",0,J37)+IF(L37="n/a",0,L37))/N$9,6))</f>
        <v>0</v>
      </c>
      <c r="O37" s="785">
        <f>LOOKUP(C37,Cities!A$3:A$343,Cities!AA$3:AA$343)</f>
        <v>0</v>
      </c>
      <c r="P37" s="345"/>
      <c r="Q37" s="345"/>
      <c r="R37" s="345"/>
    </row>
    <row r="38" spans="1:18" s="67" customFormat="1" ht="18" customHeight="1" x14ac:dyDescent="0.2">
      <c r="A38" s="325">
        <f t="shared" si="2"/>
        <v>297</v>
      </c>
      <c r="B38" s="878"/>
      <c r="C38" s="326">
        <v>1</v>
      </c>
      <c r="D38" s="327">
        <f>LOOKUP(C38,Cities!A$3:A$343,Cities!B$3:B$343)</f>
        <v>0</v>
      </c>
      <c r="E38" s="332"/>
      <c r="F38" s="332"/>
      <c r="G38" s="331">
        <f t="shared" si="0"/>
        <v>0</v>
      </c>
      <c r="H38" s="914" t="str">
        <f t="shared" si="1"/>
        <v>n/a</v>
      </c>
      <c r="I38" s="332"/>
      <c r="J38" s="914" t="str">
        <f>IF(Overflow!K$6&gt;0,ROUND(I38/Overflow!K$6,6),"n/a")</f>
        <v>n/a</v>
      </c>
      <c r="K38" s="332"/>
      <c r="L38" s="914" t="str">
        <f>IF(Overflow!K$8&gt;0,ROUND(K38/Overflow!K$8,6),"n/a")</f>
        <v>n/a</v>
      </c>
      <c r="M38" s="330">
        <f>IF(Overflow!G$8+Overflow!K$6+Overflow!K$8=0,0,ROUND((IF(H38="n/a",0,H38)+IF(J38="n/a",0,J38)+IF(L38="n/a",0,L38))/N$9,6))</f>
        <v>0</v>
      </c>
      <c r="O38" s="785">
        <f>LOOKUP(C38,Cities!A$3:A$343,Cities!AA$3:AA$343)</f>
        <v>0</v>
      </c>
      <c r="P38" s="345"/>
      <c r="Q38" s="345"/>
      <c r="R38" s="345"/>
    </row>
    <row r="39" spans="1:18" s="67" customFormat="1" ht="18" customHeight="1" x14ac:dyDescent="0.2">
      <c r="A39" s="325">
        <f t="shared" si="2"/>
        <v>298</v>
      </c>
      <c r="B39" s="878"/>
      <c r="C39" s="326">
        <v>1</v>
      </c>
      <c r="D39" s="327">
        <f>LOOKUP(C39,Cities!A$3:A$343,Cities!B$3:B$343)</f>
        <v>0</v>
      </c>
      <c r="E39" s="332"/>
      <c r="F39" s="332"/>
      <c r="G39" s="331">
        <f t="shared" si="0"/>
        <v>0</v>
      </c>
      <c r="H39" s="914" t="str">
        <f t="shared" si="1"/>
        <v>n/a</v>
      </c>
      <c r="I39" s="332"/>
      <c r="J39" s="914" t="str">
        <f>IF(Overflow!K$6&gt;0,ROUND(I39/Overflow!K$6,6),"n/a")</f>
        <v>n/a</v>
      </c>
      <c r="K39" s="332"/>
      <c r="L39" s="914" t="str">
        <f>IF(Overflow!K$8&gt;0,ROUND(K39/Overflow!K$8,6),"n/a")</f>
        <v>n/a</v>
      </c>
      <c r="M39" s="330">
        <f>IF(Overflow!G$8+Overflow!K$6+Overflow!K$8=0,0,ROUND((IF(H39="n/a",0,H39)+IF(J39="n/a",0,J39)+IF(L39="n/a",0,L39))/N$9,6))</f>
        <v>0</v>
      </c>
      <c r="O39" s="785">
        <f>LOOKUP(C39,Cities!A$3:A$343,Cities!AA$3:AA$343)</f>
        <v>0</v>
      </c>
      <c r="P39" s="345"/>
      <c r="Q39" s="345"/>
      <c r="R39" s="345"/>
    </row>
    <row r="40" spans="1:18" s="67" customFormat="1" ht="18" customHeight="1" x14ac:dyDescent="0.2">
      <c r="A40" s="325">
        <f t="shared" si="2"/>
        <v>299</v>
      </c>
      <c r="B40" s="878"/>
      <c r="C40" s="326">
        <v>1</v>
      </c>
      <c r="D40" s="327">
        <f>LOOKUP(C40,Cities!A$3:A$343,Cities!B$3:B$343)</f>
        <v>0</v>
      </c>
      <c r="E40" s="332"/>
      <c r="F40" s="332"/>
      <c r="G40" s="331">
        <f t="shared" si="0"/>
        <v>0</v>
      </c>
      <c r="H40" s="914" t="str">
        <f t="shared" si="1"/>
        <v>n/a</v>
      </c>
      <c r="I40" s="332"/>
      <c r="J40" s="914" t="str">
        <f>IF(Overflow!K$6&gt;0,ROUND(I40/Overflow!K$6,6),"n/a")</f>
        <v>n/a</v>
      </c>
      <c r="K40" s="332"/>
      <c r="L40" s="914" t="str">
        <f>IF(Overflow!K$8&gt;0,ROUND(K40/Overflow!K$8,6),"n/a")</f>
        <v>n/a</v>
      </c>
      <c r="M40" s="330">
        <f>IF(Overflow!G$8+Overflow!K$6+Overflow!K$8=0,0,ROUND((IF(H40="n/a",0,H40)+IF(J40="n/a",0,J40)+IF(L40="n/a",0,L40))/N$9,6))</f>
        <v>0</v>
      </c>
      <c r="O40" s="785">
        <f>LOOKUP(C40,Cities!A$3:A$343,Cities!AA$3:AA$343)</f>
        <v>0</v>
      </c>
      <c r="P40" s="345"/>
      <c r="Q40" s="345"/>
      <c r="R40" s="345"/>
    </row>
    <row r="41" spans="1:18" s="67" customFormat="1" ht="18" customHeight="1" x14ac:dyDescent="0.2">
      <c r="A41" s="325">
        <f t="shared" si="2"/>
        <v>300</v>
      </c>
      <c r="B41" s="878"/>
      <c r="C41" s="326">
        <v>1</v>
      </c>
      <c r="D41" s="327">
        <f>LOOKUP(C41,Cities!A$3:A$343,Cities!B$3:B$343)</f>
        <v>0</v>
      </c>
      <c r="E41" s="332"/>
      <c r="F41" s="332"/>
      <c r="G41" s="331">
        <f t="shared" si="0"/>
        <v>0</v>
      </c>
      <c r="H41" s="914" t="str">
        <f t="shared" si="1"/>
        <v>n/a</v>
      </c>
      <c r="I41" s="332"/>
      <c r="J41" s="914" t="str">
        <f>IF(Overflow!K$6&gt;0,ROUND(I41/Overflow!K$6,6),"n/a")</f>
        <v>n/a</v>
      </c>
      <c r="K41" s="332"/>
      <c r="L41" s="914" t="str">
        <f>IF(Overflow!K$8&gt;0,ROUND(K41/Overflow!K$8,6),"n/a")</f>
        <v>n/a</v>
      </c>
      <c r="M41" s="330">
        <f>IF(Overflow!G$8+Overflow!K$6+Overflow!K$8=0,0,ROUND((IF(H41="n/a",0,H41)+IF(J41="n/a",0,J41)+IF(L41="n/a",0,L41))/N$9,6))</f>
        <v>0</v>
      </c>
      <c r="O41" s="785">
        <f>LOOKUP(C41,Cities!A$3:A$343,Cities!AA$3:AA$343)</f>
        <v>0</v>
      </c>
      <c r="P41" s="345"/>
      <c r="Q41" s="345"/>
      <c r="R41" s="345"/>
    </row>
    <row r="42" spans="1:18" s="67" customFormat="1" ht="18" customHeight="1" x14ac:dyDescent="0.2">
      <c r="A42" s="325">
        <f t="shared" si="2"/>
        <v>301</v>
      </c>
      <c r="B42" s="878"/>
      <c r="C42" s="326">
        <v>1</v>
      </c>
      <c r="D42" s="327">
        <f>LOOKUP(C42,Cities!A$3:A$343,Cities!B$3:B$343)</f>
        <v>0</v>
      </c>
      <c r="E42" s="332"/>
      <c r="F42" s="332"/>
      <c r="G42" s="331">
        <f t="shared" si="0"/>
        <v>0</v>
      </c>
      <c r="H42" s="914" t="str">
        <f t="shared" si="1"/>
        <v>n/a</v>
      </c>
      <c r="I42" s="332"/>
      <c r="J42" s="914" t="str">
        <f>IF(Overflow!K$6&gt;0,ROUND(I42/Overflow!K$6,6),"n/a")</f>
        <v>n/a</v>
      </c>
      <c r="K42" s="332"/>
      <c r="L42" s="914" t="str">
        <f>IF(Overflow!K$8&gt;0,ROUND(K42/Overflow!K$8,6),"n/a")</f>
        <v>n/a</v>
      </c>
      <c r="M42" s="330">
        <f>IF(Overflow!G$8+Overflow!K$6+Overflow!K$8=0,0,ROUND((IF(H42="n/a",0,H42)+IF(J42="n/a",0,J42)+IF(L42="n/a",0,L42))/N$9,6))</f>
        <v>0</v>
      </c>
      <c r="O42" s="785">
        <f>LOOKUP(C42,Cities!A$3:A$343,Cities!AA$3:AA$343)</f>
        <v>0</v>
      </c>
      <c r="P42" s="345"/>
      <c r="Q42" s="345"/>
      <c r="R42" s="345"/>
    </row>
    <row r="43" spans="1:18" s="67" customFormat="1" ht="18" customHeight="1" x14ac:dyDescent="0.2">
      <c r="A43" s="325">
        <f t="shared" si="2"/>
        <v>302</v>
      </c>
      <c r="B43" s="878"/>
      <c r="C43" s="326">
        <v>1</v>
      </c>
      <c r="D43" s="327">
        <f>LOOKUP(C43,Cities!A$3:A$343,Cities!B$3:B$343)</f>
        <v>0</v>
      </c>
      <c r="E43" s="332"/>
      <c r="F43" s="332"/>
      <c r="G43" s="331">
        <f t="shared" si="0"/>
        <v>0</v>
      </c>
      <c r="H43" s="914" t="str">
        <f t="shared" si="1"/>
        <v>n/a</v>
      </c>
      <c r="I43" s="332"/>
      <c r="J43" s="914" t="str">
        <f>IF(Overflow!K$6&gt;0,ROUND(I43/Overflow!K$6,6),"n/a")</f>
        <v>n/a</v>
      </c>
      <c r="K43" s="332"/>
      <c r="L43" s="914" t="str">
        <f>IF(Overflow!K$8&gt;0,ROUND(K43/Overflow!K$8,6),"n/a")</f>
        <v>n/a</v>
      </c>
      <c r="M43" s="330">
        <f>IF(Overflow!G$8+Overflow!K$6+Overflow!K$8=0,0,ROUND((IF(H43="n/a",0,H43)+IF(J43="n/a",0,J43)+IF(L43="n/a",0,L43))/N$9,6))</f>
        <v>0</v>
      </c>
      <c r="O43" s="785">
        <f>LOOKUP(C43,Cities!A$3:A$343,Cities!AA$3:AA$343)</f>
        <v>0</v>
      </c>
      <c r="P43" s="345"/>
      <c r="Q43" s="345"/>
      <c r="R43" s="345"/>
    </row>
    <row r="44" spans="1:18" s="67" customFormat="1" ht="18" customHeight="1" x14ac:dyDescent="0.2">
      <c r="A44" s="325">
        <f t="shared" si="2"/>
        <v>303</v>
      </c>
      <c r="B44" s="878"/>
      <c r="C44" s="326">
        <v>1</v>
      </c>
      <c r="D44" s="327">
        <f>LOOKUP(C44,Cities!A$3:A$343,Cities!B$3:B$343)</f>
        <v>0</v>
      </c>
      <c r="E44" s="332"/>
      <c r="F44" s="332"/>
      <c r="G44" s="331">
        <f t="shared" si="0"/>
        <v>0</v>
      </c>
      <c r="H44" s="914" t="str">
        <f t="shared" si="1"/>
        <v>n/a</v>
      </c>
      <c r="I44" s="332"/>
      <c r="J44" s="914" t="str">
        <f>IF(Overflow!K$6&gt;0,ROUND(I44/Overflow!K$6,6),"n/a")</f>
        <v>n/a</v>
      </c>
      <c r="K44" s="332"/>
      <c r="L44" s="914" t="str">
        <f>IF(Overflow!K$8&gt;0,ROUND(K44/Overflow!K$8,6),"n/a")</f>
        <v>n/a</v>
      </c>
      <c r="M44" s="330">
        <f>IF(Overflow!G$8+Overflow!K$6+Overflow!K$8=0,0,ROUND((IF(H44="n/a",0,H44)+IF(J44="n/a",0,J44)+IF(L44="n/a",0,L44))/N$9,6))</f>
        <v>0</v>
      </c>
      <c r="O44" s="785">
        <f>LOOKUP(C44,Cities!A$3:A$343,Cities!AA$3:AA$343)</f>
        <v>0</v>
      </c>
      <c r="P44" s="345"/>
      <c r="Q44" s="345"/>
      <c r="R44" s="345"/>
    </row>
    <row r="45" spans="1:18" s="67" customFormat="1" ht="18" customHeight="1" x14ac:dyDescent="0.2">
      <c r="A45" s="325">
        <f t="shared" si="2"/>
        <v>304</v>
      </c>
      <c r="B45" s="878"/>
      <c r="C45" s="326">
        <v>1</v>
      </c>
      <c r="D45" s="327">
        <f>LOOKUP(C45,Cities!A$3:A$343,Cities!B$3:B$343)</f>
        <v>0</v>
      </c>
      <c r="E45" s="332"/>
      <c r="F45" s="332"/>
      <c r="G45" s="331">
        <f t="shared" si="0"/>
        <v>0</v>
      </c>
      <c r="H45" s="914" t="str">
        <f t="shared" si="1"/>
        <v>n/a</v>
      </c>
      <c r="I45" s="332"/>
      <c r="J45" s="914" t="str">
        <f>IF(Overflow!K$6&gt;0,ROUND(I45/Overflow!K$6,6),"n/a")</f>
        <v>n/a</v>
      </c>
      <c r="K45" s="332"/>
      <c r="L45" s="914" t="str">
        <f>IF(Overflow!K$8&gt;0,ROUND(K45/Overflow!K$8,6),"n/a")</f>
        <v>n/a</v>
      </c>
      <c r="M45" s="330">
        <f>IF(Overflow!G$8+Overflow!K$6+Overflow!K$8=0,0,ROUND((IF(H45="n/a",0,H45)+IF(J45="n/a",0,J45)+IF(L45="n/a",0,L45))/N$9,6))</f>
        <v>0</v>
      </c>
      <c r="O45" s="785">
        <f>LOOKUP(C45,Cities!A$3:A$343,Cities!AA$3:AA$343)</f>
        <v>0</v>
      </c>
      <c r="P45" s="345"/>
      <c r="Q45" s="345"/>
      <c r="R45" s="345"/>
    </row>
    <row r="46" spans="1:18" s="67" customFormat="1" ht="18" customHeight="1" x14ac:dyDescent="0.2">
      <c r="A46" s="325">
        <f t="shared" si="2"/>
        <v>305</v>
      </c>
      <c r="B46" s="878"/>
      <c r="C46" s="326">
        <v>1</v>
      </c>
      <c r="D46" s="327">
        <f>LOOKUP(C46,Cities!A$3:A$343,Cities!B$3:B$343)</f>
        <v>0</v>
      </c>
      <c r="E46" s="332"/>
      <c r="F46" s="332"/>
      <c r="G46" s="331">
        <f t="shared" si="0"/>
        <v>0</v>
      </c>
      <c r="H46" s="914" t="str">
        <f t="shared" si="1"/>
        <v>n/a</v>
      </c>
      <c r="I46" s="332"/>
      <c r="J46" s="914" t="str">
        <f>IF(Overflow!K$6&gt;0,ROUND(I46/Overflow!K$6,6),"n/a")</f>
        <v>n/a</v>
      </c>
      <c r="K46" s="332"/>
      <c r="L46" s="914" t="str">
        <f>IF(Overflow!K$8&gt;0,ROUND(K46/Overflow!K$8,6),"n/a")</f>
        <v>n/a</v>
      </c>
      <c r="M46" s="330">
        <f>IF(Overflow!G$8+Overflow!K$6+Overflow!K$8=0,0,ROUND((IF(H46="n/a",0,H46)+IF(J46="n/a",0,J46)+IF(L46="n/a",0,L46))/N$9,6))</f>
        <v>0</v>
      </c>
      <c r="O46" s="785">
        <f>LOOKUP(C46,Cities!A$3:A$343,Cities!AA$3:AA$343)</f>
        <v>0</v>
      </c>
      <c r="P46" s="345"/>
      <c r="Q46" s="345"/>
      <c r="R46" s="345"/>
    </row>
    <row r="47" spans="1:18" s="67" customFormat="1" ht="18" customHeight="1" x14ac:dyDescent="0.2">
      <c r="A47" s="325">
        <f t="shared" si="2"/>
        <v>306</v>
      </c>
      <c r="B47" s="878"/>
      <c r="C47" s="326">
        <v>1</v>
      </c>
      <c r="D47" s="327">
        <f>LOOKUP(C47,Cities!A$3:A$343,Cities!B$3:B$343)</f>
        <v>0</v>
      </c>
      <c r="E47" s="332"/>
      <c r="F47" s="332"/>
      <c r="G47" s="331">
        <f t="shared" si="0"/>
        <v>0</v>
      </c>
      <c r="H47" s="914" t="str">
        <f t="shared" si="1"/>
        <v>n/a</v>
      </c>
      <c r="I47" s="332"/>
      <c r="J47" s="914" t="str">
        <f>IF(Overflow!K$6&gt;0,ROUND(I47/Overflow!K$6,6),"n/a")</f>
        <v>n/a</v>
      </c>
      <c r="K47" s="332"/>
      <c r="L47" s="914" t="str">
        <f>IF(Overflow!K$8&gt;0,ROUND(K47/Overflow!K$8,6),"n/a")</f>
        <v>n/a</v>
      </c>
      <c r="M47" s="330">
        <f>IF(Overflow!G$8+Overflow!K$6+Overflow!K$8=0,0,ROUND((IF(H47="n/a",0,H47)+IF(J47="n/a",0,J47)+IF(L47="n/a",0,L47))/N$9,6))</f>
        <v>0</v>
      </c>
      <c r="O47" s="785">
        <f>LOOKUP(C47,Cities!A$3:A$343,Cities!AA$3:AA$343)</f>
        <v>0</v>
      </c>
      <c r="P47" s="345"/>
      <c r="Q47" s="345"/>
      <c r="R47" s="345"/>
    </row>
    <row r="48" spans="1:18" s="67" customFormat="1" ht="18" customHeight="1" x14ac:dyDescent="0.2">
      <c r="A48" s="325">
        <f t="shared" si="2"/>
        <v>307</v>
      </c>
      <c r="B48" s="878"/>
      <c r="C48" s="326">
        <v>1</v>
      </c>
      <c r="D48" s="327">
        <f>LOOKUP(C48,Cities!A$3:A$343,Cities!B$3:B$343)</f>
        <v>0</v>
      </c>
      <c r="E48" s="332"/>
      <c r="F48" s="332"/>
      <c r="G48" s="331">
        <f t="shared" si="0"/>
        <v>0</v>
      </c>
      <c r="H48" s="914" t="str">
        <f t="shared" si="1"/>
        <v>n/a</v>
      </c>
      <c r="I48" s="332"/>
      <c r="J48" s="914" t="str">
        <f>IF(Overflow!K$6&gt;0,ROUND(I48/Overflow!K$6,6),"n/a")</f>
        <v>n/a</v>
      </c>
      <c r="K48" s="332"/>
      <c r="L48" s="914" t="str">
        <f>IF(Overflow!K$8&gt;0,ROUND(K48/Overflow!K$8,6),"n/a")</f>
        <v>n/a</v>
      </c>
      <c r="M48" s="330">
        <f>IF(Overflow!G$8+Overflow!K$6+Overflow!K$8=0,0,ROUND((IF(H48="n/a",0,H48)+IF(J48="n/a",0,J48)+IF(L48="n/a",0,L48))/N$9,6))</f>
        <v>0</v>
      </c>
      <c r="O48" s="785">
        <f>LOOKUP(C48,Cities!A$3:A$343,Cities!AA$3:AA$343)</f>
        <v>0</v>
      </c>
      <c r="P48" s="345"/>
      <c r="Q48" s="345"/>
      <c r="R48" s="345"/>
    </row>
    <row r="49" spans="1:18" s="67" customFormat="1" ht="18" customHeight="1" x14ac:dyDescent="0.2">
      <c r="A49" s="325">
        <f t="shared" si="2"/>
        <v>308</v>
      </c>
      <c r="B49" s="878"/>
      <c r="C49" s="326">
        <v>1</v>
      </c>
      <c r="D49" s="327">
        <f>LOOKUP(C49,Cities!A$3:A$343,Cities!B$3:B$343)</f>
        <v>0</v>
      </c>
      <c r="E49" s="332"/>
      <c r="F49" s="332"/>
      <c r="G49" s="331">
        <f t="shared" si="0"/>
        <v>0</v>
      </c>
      <c r="H49" s="914" t="str">
        <f t="shared" si="1"/>
        <v>n/a</v>
      </c>
      <c r="I49" s="332"/>
      <c r="J49" s="914" t="str">
        <f>IF(Overflow!K$6&gt;0,ROUND(I49/Overflow!K$6,6),"n/a")</f>
        <v>n/a</v>
      </c>
      <c r="K49" s="332"/>
      <c r="L49" s="914" t="str">
        <f>IF(Overflow!K$8&gt;0,ROUND(K49/Overflow!K$8,6),"n/a")</f>
        <v>n/a</v>
      </c>
      <c r="M49" s="330">
        <f>IF(Overflow!G$8+Overflow!K$6+Overflow!K$8=0,0,ROUND((IF(H49="n/a",0,H49)+IF(J49="n/a",0,J49)+IF(L49="n/a",0,L49))/N$9,6))</f>
        <v>0</v>
      </c>
      <c r="O49" s="785">
        <f>LOOKUP(C49,Cities!A$3:A$343,Cities!AA$3:AA$343)</f>
        <v>0</v>
      </c>
      <c r="P49" s="345"/>
      <c r="Q49" s="345"/>
      <c r="R49" s="345"/>
    </row>
    <row r="50" spans="1:18" s="67" customFormat="1" ht="18" customHeight="1" x14ac:dyDescent="0.2">
      <c r="A50" s="325">
        <f t="shared" si="2"/>
        <v>309</v>
      </c>
      <c r="B50" s="878"/>
      <c r="C50" s="326">
        <v>1</v>
      </c>
      <c r="D50" s="327">
        <f>LOOKUP(C50,Cities!A$3:A$343,Cities!B$3:B$343)</f>
        <v>0</v>
      </c>
      <c r="E50" s="332"/>
      <c r="F50" s="332"/>
      <c r="G50" s="331">
        <f t="shared" si="0"/>
        <v>0</v>
      </c>
      <c r="H50" s="914" t="str">
        <f t="shared" si="1"/>
        <v>n/a</v>
      </c>
      <c r="I50" s="332"/>
      <c r="J50" s="914" t="str">
        <f>IF(Overflow!K$6&gt;0,ROUND(I50/Overflow!K$6,6),"n/a")</f>
        <v>n/a</v>
      </c>
      <c r="K50" s="332"/>
      <c r="L50" s="914" t="str">
        <f>IF(Overflow!K$8&gt;0,ROUND(K50/Overflow!K$8,6),"n/a")</f>
        <v>n/a</v>
      </c>
      <c r="M50" s="330">
        <f>IF(Overflow!G$8+Overflow!K$6+Overflow!K$8=0,0,ROUND((IF(H50="n/a",0,H50)+IF(J50="n/a",0,J50)+IF(L50="n/a",0,L50))/N$9,6))</f>
        <v>0</v>
      </c>
      <c r="O50" s="785">
        <f>LOOKUP(C50,Cities!A$3:A$343,Cities!AA$3:AA$343)</f>
        <v>0</v>
      </c>
      <c r="P50" s="345"/>
      <c r="Q50" s="345"/>
      <c r="R50" s="345"/>
    </row>
    <row r="51" spans="1:18" s="67" customFormat="1" ht="18" customHeight="1" x14ac:dyDescent="0.2">
      <c r="A51" s="325">
        <f t="shared" si="2"/>
        <v>310</v>
      </c>
      <c r="B51" s="878"/>
      <c r="C51" s="326">
        <v>1</v>
      </c>
      <c r="D51" s="327">
        <f>LOOKUP(C51,Cities!A$3:A$343,Cities!B$3:B$343)</f>
        <v>0</v>
      </c>
      <c r="E51" s="332"/>
      <c r="F51" s="332"/>
      <c r="G51" s="331">
        <f t="shared" si="0"/>
        <v>0</v>
      </c>
      <c r="H51" s="914" t="str">
        <f t="shared" si="1"/>
        <v>n/a</v>
      </c>
      <c r="I51" s="332"/>
      <c r="J51" s="914" t="str">
        <f>IF(Overflow!K$6&gt;0,ROUND(I51/Overflow!K$6,6),"n/a")</f>
        <v>n/a</v>
      </c>
      <c r="K51" s="332"/>
      <c r="L51" s="914" t="str">
        <f>IF(Overflow!K$8&gt;0,ROUND(K51/Overflow!K$8,6),"n/a")</f>
        <v>n/a</v>
      </c>
      <c r="M51" s="330">
        <f>IF(Overflow!G$8+Overflow!K$6+Overflow!K$8=0,0,ROUND((IF(H51="n/a",0,H51)+IF(J51="n/a",0,J51)+IF(L51="n/a",0,L51))/N$9,6))</f>
        <v>0</v>
      </c>
      <c r="O51" s="785">
        <f>LOOKUP(C51,Cities!A$3:A$343,Cities!AA$3:AA$343)</f>
        <v>0</v>
      </c>
      <c r="P51" s="345"/>
      <c r="Q51" s="345"/>
      <c r="R51" s="345"/>
    </row>
    <row r="52" spans="1:18" s="67" customFormat="1" ht="18" customHeight="1" x14ac:dyDescent="0.2">
      <c r="A52" s="325">
        <f t="shared" si="2"/>
        <v>311</v>
      </c>
      <c r="B52" s="878"/>
      <c r="C52" s="326">
        <v>1</v>
      </c>
      <c r="D52" s="327">
        <f>LOOKUP(C52,Cities!A$3:A$343,Cities!B$3:B$343)</f>
        <v>0</v>
      </c>
      <c r="E52" s="332"/>
      <c r="F52" s="332"/>
      <c r="G52" s="331">
        <f t="shared" si="0"/>
        <v>0</v>
      </c>
      <c r="H52" s="914" t="str">
        <f t="shared" si="1"/>
        <v>n/a</v>
      </c>
      <c r="I52" s="332"/>
      <c r="J52" s="914" t="str">
        <f>IF(Overflow!K$6&gt;0,ROUND(I52/Overflow!K$6,6),"n/a")</f>
        <v>n/a</v>
      </c>
      <c r="K52" s="332"/>
      <c r="L52" s="914" t="str">
        <f>IF(Overflow!K$8&gt;0,ROUND(K52/Overflow!K$8,6),"n/a")</f>
        <v>n/a</v>
      </c>
      <c r="M52" s="330">
        <f>IF(Overflow!G$8+Overflow!K$6+Overflow!K$8=0,0,ROUND((IF(H52="n/a",0,H52)+IF(J52="n/a",0,J52)+IF(L52="n/a",0,L52))/N$9,6))</f>
        <v>0</v>
      </c>
      <c r="O52" s="785">
        <f>LOOKUP(C52,Cities!A$3:A$343,Cities!AA$3:AA$343)</f>
        <v>0</v>
      </c>
      <c r="P52" s="345"/>
      <c r="Q52" s="345"/>
      <c r="R52" s="345"/>
    </row>
    <row r="53" spans="1:18" s="67" customFormat="1" ht="18" customHeight="1" x14ac:dyDescent="0.2">
      <c r="A53" s="325">
        <f t="shared" si="2"/>
        <v>312</v>
      </c>
      <c r="B53" s="878"/>
      <c r="C53" s="326">
        <v>1</v>
      </c>
      <c r="D53" s="327">
        <f>LOOKUP(C53,Cities!A$3:A$343,Cities!B$3:B$343)</f>
        <v>0</v>
      </c>
      <c r="E53" s="332"/>
      <c r="F53" s="332"/>
      <c r="G53" s="331">
        <f t="shared" si="0"/>
        <v>0</v>
      </c>
      <c r="H53" s="914" t="str">
        <f t="shared" si="1"/>
        <v>n/a</v>
      </c>
      <c r="I53" s="332"/>
      <c r="J53" s="914" t="str">
        <f>IF(Overflow!K$6&gt;0,ROUND(I53/Overflow!K$6,6),"n/a")</f>
        <v>n/a</v>
      </c>
      <c r="K53" s="332"/>
      <c r="L53" s="914" t="str">
        <f>IF(Overflow!K$8&gt;0,ROUND(K53/Overflow!K$8,6),"n/a")</f>
        <v>n/a</v>
      </c>
      <c r="M53" s="330">
        <f>IF(Overflow!G$8+Overflow!K$6+Overflow!K$8=0,0,ROUND((IF(H53="n/a",0,H53)+IF(J53="n/a",0,J53)+IF(L53="n/a",0,L53))/N$9,6))</f>
        <v>0</v>
      </c>
      <c r="O53" s="785">
        <f>LOOKUP(C53,Cities!A$3:A$343,Cities!AA$3:AA$343)</f>
        <v>0</v>
      </c>
      <c r="P53" s="345"/>
      <c r="Q53" s="345"/>
      <c r="R53" s="345"/>
    </row>
    <row r="54" spans="1:18" s="67" customFormat="1" ht="18" customHeight="1" x14ac:dyDescent="0.2">
      <c r="A54" s="325">
        <f t="shared" si="2"/>
        <v>313</v>
      </c>
      <c r="B54" s="878"/>
      <c r="C54" s="326">
        <v>1</v>
      </c>
      <c r="D54" s="327">
        <f>LOOKUP(C54,Cities!A$3:A$343,Cities!B$3:B$343)</f>
        <v>0</v>
      </c>
      <c r="E54" s="332"/>
      <c r="F54" s="332"/>
      <c r="G54" s="331">
        <f t="shared" si="0"/>
        <v>0</v>
      </c>
      <c r="H54" s="914" t="str">
        <f t="shared" si="1"/>
        <v>n/a</v>
      </c>
      <c r="I54" s="332"/>
      <c r="J54" s="914" t="str">
        <f>IF(Overflow!K$6&gt;0,ROUND(I54/Overflow!K$6,6),"n/a")</f>
        <v>n/a</v>
      </c>
      <c r="K54" s="332"/>
      <c r="L54" s="914" t="str">
        <f>IF(Overflow!K$8&gt;0,ROUND(K54/Overflow!K$8,6),"n/a")</f>
        <v>n/a</v>
      </c>
      <c r="M54" s="330">
        <f>IF(Overflow!G$8+Overflow!K$6+Overflow!K$8=0,0,ROUND((IF(H54="n/a",0,H54)+IF(J54="n/a",0,J54)+IF(L54="n/a",0,L54))/N$9,6))</f>
        <v>0</v>
      </c>
      <c r="O54" s="785">
        <f>LOOKUP(C54,Cities!A$3:A$343,Cities!AA$3:AA$343)</f>
        <v>0</v>
      </c>
      <c r="P54" s="345"/>
      <c r="Q54" s="345"/>
      <c r="R54" s="345"/>
    </row>
    <row r="55" spans="1:18" s="67" customFormat="1" ht="18" customHeight="1" x14ac:dyDescent="0.2">
      <c r="A55" s="325">
        <f t="shared" si="2"/>
        <v>314</v>
      </c>
      <c r="B55" s="878"/>
      <c r="C55" s="326">
        <v>1</v>
      </c>
      <c r="D55" s="327">
        <f>LOOKUP(C55,Cities!A$3:A$343,Cities!B$3:B$343)</f>
        <v>0</v>
      </c>
      <c r="E55" s="332"/>
      <c r="F55" s="332"/>
      <c r="G55" s="331">
        <f t="shared" si="0"/>
        <v>0</v>
      </c>
      <c r="H55" s="914" t="str">
        <f t="shared" si="1"/>
        <v>n/a</v>
      </c>
      <c r="I55" s="332"/>
      <c r="J55" s="914" t="str">
        <f>IF(Overflow!K$6&gt;0,ROUND(I55/Overflow!K$6,6),"n/a")</f>
        <v>n/a</v>
      </c>
      <c r="K55" s="332"/>
      <c r="L55" s="914" t="str">
        <f>IF(Overflow!K$8&gt;0,ROUND(K55/Overflow!K$8,6),"n/a")</f>
        <v>n/a</v>
      </c>
      <c r="M55" s="330">
        <f>IF(Overflow!G$8+Overflow!K$6+Overflow!K$8=0,0,ROUND((IF(H55="n/a",0,H55)+IF(J55="n/a",0,J55)+IF(L55="n/a",0,L55))/N$9,6))</f>
        <v>0</v>
      </c>
      <c r="O55" s="785">
        <f>LOOKUP(C55,Cities!A$3:A$343,Cities!AA$3:AA$343)</f>
        <v>0</v>
      </c>
      <c r="P55" s="345"/>
      <c r="Q55" s="345"/>
      <c r="R55" s="345"/>
    </row>
    <row r="56" spans="1:18" s="67" customFormat="1" ht="18" customHeight="1" x14ac:dyDescent="0.2">
      <c r="A56" s="325">
        <f t="shared" si="2"/>
        <v>315</v>
      </c>
      <c r="B56" s="878"/>
      <c r="C56" s="326">
        <v>1</v>
      </c>
      <c r="D56" s="327">
        <f>LOOKUP(C56,Cities!A$3:A$343,Cities!B$3:B$343)</f>
        <v>0</v>
      </c>
      <c r="E56" s="332"/>
      <c r="F56" s="332"/>
      <c r="G56" s="331">
        <f t="shared" si="0"/>
        <v>0</v>
      </c>
      <c r="H56" s="914" t="str">
        <f t="shared" si="1"/>
        <v>n/a</v>
      </c>
      <c r="I56" s="332"/>
      <c r="J56" s="914" t="str">
        <f>IF(Overflow!K$6&gt;0,ROUND(I56/Overflow!K$6,6),"n/a")</f>
        <v>n/a</v>
      </c>
      <c r="K56" s="332"/>
      <c r="L56" s="914" t="str">
        <f>IF(Overflow!K$8&gt;0,ROUND(K56/Overflow!K$8,6),"n/a")</f>
        <v>n/a</v>
      </c>
      <c r="M56" s="330">
        <f>IF(Overflow!G$8+Overflow!K$6+Overflow!K$8=0,0,ROUND((IF(H56="n/a",0,H56)+IF(J56="n/a",0,J56)+IF(L56="n/a",0,L56))/N$9,6))</f>
        <v>0</v>
      </c>
      <c r="O56" s="785">
        <f>LOOKUP(C56,Cities!A$3:A$343,Cities!AA$3:AA$343)</f>
        <v>0</v>
      </c>
      <c r="P56" s="345"/>
      <c r="Q56" s="345"/>
      <c r="R56" s="345"/>
    </row>
    <row r="57" spans="1:18" s="67" customFormat="1" ht="18" customHeight="1" x14ac:dyDescent="0.2">
      <c r="M57" s="341">
        <f>SUM(M12:M56)</f>
        <v>0</v>
      </c>
      <c r="O57" s="345"/>
      <c r="P57" s="345"/>
      <c r="Q57" s="345"/>
      <c r="R57" s="345"/>
    </row>
    <row r="58" spans="1:18" s="67" customFormat="1" ht="12.75" customHeight="1" x14ac:dyDescent="0.2">
      <c r="B58" s="851"/>
      <c r="K58" s="1567" t="s">
        <v>1669</v>
      </c>
      <c r="O58" s="345"/>
      <c r="P58" s="345"/>
      <c r="Q58" s="345"/>
      <c r="R58" s="345"/>
    </row>
    <row r="59" spans="1:18" s="1" customFormat="1" ht="30" customHeight="1" x14ac:dyDescent="0.4">
      <c r="A59" s="1372" t="s">
        <v>372</v>
      </c>
      <c r="B59" s="1540"/>
      <c r="C59" s="216"/>
      <c r="D59" s="1541" t="s">
        <v>373</v>
      </c>
      <c r="E59" s="1338"/>
      <c r="F59" s="1338"/>
      <c r="G59" s="1338"/>
      <c r="H59" s="1338"/>
      <c r="I59" s="1338"/>
      <c r="J59" s="1338"/>
      <c r="K59" s="1560"/>
      <c r="L59" s="1380">
        <f>+L1</f>
        <v>2018</v>
      </c>
      <c r="M59" s="1381"/>
      <c r="O59" s="344"/>
      <c r="P59" s="344"/>
      <c r="Q59" s="344"/>
      <c r="R59" s="344"/>
    </row>
    <row r="60" spans="1:18" s="1" customFormat="1" ht="15.75" customHeight="1" x14ac:dyDescent="0.2">
      <c r="A60" s="1545" t="s">
        <v>159</v>
      </c>
      <c r="B60" s="1546"/>
      <c r="C60" s="217"/>
      <c r="D60" s="1557"/>
      <c r="E60" s="1558"/>
      <c r="F60" s="1558"/>
      <c r="G60" s="1558"/>
      <c r="H60" s="1558"/>
      <c r="I60" s="1558"/>
      <c r="J60" s="1558"/>
      <c r="K60" s="878"/>
      <c r="L60" s="1382" t="str">
        <f>+'Complete This Page'!J1</f>
        <v>NPAC v2018.0</v>
      </c>
      <c r="M60" s="1383"/>
      <c r="O60" s="291"/>
      <c r="P60" s="344"/>
      <c r="Q60" s="344"/>
      <c r="R60" s="344"/>
    </row>
    <row r="61" spans="1:18" s="1" customFormat="1" x14ac:dyDescent="0.2">
      <c r="A61" s="1" t="s">
        <v>467</v>
      </c>
      <c r="B61" s="879"/>
      <c r="C61" s="879"/>
      <c r="D61" s="879"/>
      <c r="E61" s="879"/>
      <c r="F61" s="879"/>
      <c r="G61" s="879"/>
      <c r="H61" s="879"/>
      <c r="I61" s="880"/>
      <c r="J61" s="334"/>
      <c r="K61" s="335" t="s">
        <v>466</v>
      </c>
      <c r="O61" s="291"/>
      <c r="P61" s="344"/>
      <c r="Q61" s="344"/>
      <c r="R61" s="344"/>
    </row>
    <row r="62" spans="1:18" s="1" customFormat="1" ht="18" x14ac:dyDescent="0.25">
      <c r="A62" s="881"/>
      <c r="B62" s="1377">
        <f>+B4</f>
        <v>0</v>
      </c>
      <c r="C62" s="1377"/>
      <c r="D62" s="1377"/>
      <c r="E62" s="1377"/>
      <c r="F62" s="1377"/>
      <c r="G62" s="1377"/>
      <c r="H62" s="1377"/>
      <c r="I62" s="1377"/>
      <c r="J62" s="1378"/>
      <c r="K62" s="1350">
        <f>+K4</f>
        <v>0</v>
      </c>
      <c r="L62" s="1351"/>
      <c r="M62" s="1351"/>
      <c r="O62" s="291"/>
      <c r="P62" s="344"/>
      <c r="Q62" s="344"/>
      <c r="R62" s="344"/>
    </row>
    <row r="63" spans="1:18" x14ac:dyDescent="0.2">
      <c r="A63" s="328"/>
      <c r="O63" s="786"/>
      <c r="P63" s="171"/>
      <c r="Q63" s="171"/>
      <c r="R63" s="171"/>
    </row>
    <row r="64" spans="1:18" ht="47.25" customHeight="1" x14ac:dyDescent="0.2">
      <c r="B64" s="322"/>
      <c r="C64" s="1"/>
      <c r="D64" s="1547" t="s">
        <v>588</v>
      </c>
      <c r="E64" s="1547" t="s">
        <v>1684</v>
      </c>
      <c r="F64" s="1547" t="s">
        <v>1690</v>
      </c>
      <c r="G64" s="1553" t="s">
        <v>1685</v>
      </c>
      <c r="H64" s="1554"/>
      <c r="I64" s="1553" t="s">
        <v>1689</v>
      </c>
      <c r="J64" s="1554"/>
      <c r="K64" s="21"/>
      <c r="L64" s="1539"/>
      <c r="M64" s="1123"/>
      <c r="O64" s="1565"/>
      <c r="P64" s="171"/>
      <c r="Q64" s="171"/>
      <c r="R64" s="171"/>
    </row>
    <row r="65" spans="1:18" x14ac:dyDescent="0.2">
      <c r="B65" s="323" t="s">
        <v>618</v>
      </c>
      <c r="C65" s="324" t="s">
        <v>164</v>
      </c>
      <c r="D65" s="1548"/>
      <c r="E65" s="1552"/>
      <c r="F65" s="1552"/>
      <c r="G65" s="1555"/>
      <c r="H65" s="1556"/>
      <c r="I65" s="1555"/>
      <c r="J65" s="1556"/>
      <c r="K65" s="22" t="s">
        <v>561</v>
      </c>
      <c r="L65" s="1064" t="s">
        <v>562</v>
      </c>
      <c r="M65" s="1549"/>
      <c r="O65" s="1565"/>
      <c r="P65" s="171"/>
      <c r="Q65" s="171"/>
      <c r="R65" s="171"/>
    </row>
    <row r="66" spans="1:18" ht="15" x14ac:dyDescent="0.2">
      <c r="A66" s="325">
        <v>271</v>
      </c>
      <c r="B66" s="336" t="str">
        <f>IF(C66=1,"",LOOKUP(C66,Cities!A$3:A$343,Cities!C$3:C$343))</f>
        <v/>
      </c>
      <c r="C66" s="338">
        <f t="shared" ref="C66:D81" si="3">+C12</f>
        <v>1</v>
      </c>
      <c r="D66" s="337">
        <f t="shared" si="3"/>
        <v>0</v>
      </c>
      <c r="E66" s="812">
        <f>ROUND('Print Return'!$L$37*'Overflow (7)'!M12,0)</f>
        <v>0</v>
      </c>
      <c r="F66" s="955"/>
      <c r="G66" s="1524"/>
      <c r="H66" s="1524"/>
      <c r="I66" s="1525">
        <f>IF(Data!D$33=TRUE,'Overflows Worksheet'!K304,'Overflows Worksheet'!T304)</f>
        <v>0</v>
      </c>
      <c r="J66" s="1525"/>
      <c r="K66" s="853">
        <f>LOOKUP(C12,Cities!A$3:A$343,Cities!D$3:D$343)</f>
        <v>0</v>
      </c>
      <c r="L66" s="1522">
        <f>IF(AND(I66&gt;0, OR(I66*K66&gt;10,$L$1&lt;2016)),ROUND(I66*K66,0),0)</f>
        <v>0</v>
      </c>
      <c r="M66" s="1523"/>
      <c r="N66" s="339">
        <f>LOOKUP($C12,Cities!$A$3:$A$356,Cities!$V$3:$V$356)</f>
        <v>0</v>
      </c>
      <c r="O66" s="936" t="str">
        <f>IF(AND(ISNUMBER($L$1)=TRUE,ISNUMBER(O12)=TRUE,O12&gt;=$L$1-5), CONCATENATE("Last 0% tax rate year ", O12),"")</f>
        <v/>
      </c>
      <c r="P66" s="785"/>
      <c r="Q66" s="785">
        <f>IF(P66=FALSE,F66,0)</f>
        <v>0</v>
      </c>
      <c r="R66" s="171"/>
    </row>
    <row r="67" spans="1:18" ht="15" x14ac:dyDescent="0.2">
      <c r="A67" s="325">
        <f>A66+1</f>
        <v>272</v>
      </c>
      <c r="B67" s="336" t="str">
        <f>IF(C67=1,"",LOOKUP(C67,Cities!A$3:A$343,Cities!C$3:C$343))</f>
        <v/>
      </c>
      <c r="C67" s="338">
        <f t="shared" si="3"/>
        <v>1</v>
      </c>
      <c r="D67" s="337">
        <f t="shared" si="3"/>
        <v>0</v>
      </c>
      <c r="E67" s="812">
        <f>ROUND('Print Return'!$L$37*'Overflow (7)'!M13,0)</f>
        <v>0</v>
      </c>
      <c r="F67" s="955"/>
      <c r="G67" s="1524"/>
      <c r="H67" s="1524"/>
      <c r="I67" s="1525">
        <f>IF(Data!D$33=TRUE,'Overflows Worksheet'!K305,'Overflows Worksheet'!T305)</f>
        <v>0</v>
      </c>
      <c r="J67" s="1525"/>
      <c r="K67" s="853">
        <f>LOOKUP(C13,Cities!A$3:A$343,Cities!D$3:D$343)</f>
        <v>0</v>
      </c>
      <c r="L67" s="1522">
        <f t="shared" ref="L67:L110" si="4">IF(AND(I67&gt;0, OR(I67*K67&gt;10,$L$1&lt;2016)),ROUND(I67*K67,0),0)</f>
        <v>0</v>
      </c>
      <c r="M67" s="1523"/>
      <c r="N67" s="339">
        <f>LOOKUP($C13,Cities!$A$3:$A$356,Cities!$V$3:$V$356)</f>
        <v>0</v>
      </c>
      <c r="O67" s="936" t="str">
        <f t="shared" ref="O67:O110" si="5">IF(AND(ISNUMBER($L$1)=TRUE,ISNUMBER(O13)=TRUE,O13&gt;=$L$1-5), CONCATENATE("Last 0% tax rate year ", O13),"")</f>
        <v/>
      </c>
      <c r="P67" s="785"/>
      <c r="Q67" s="785">
        <f t="shared" ref="Q67:Q110" si="6">IF(P67=FALSE,F67,0)</f>
        <v>0</v>
      </c>
      <c r="R67" s="171"/>
    </row>
    <row r="68" spans="1:18" ht="15" x14ac:dyDescent="0.2">
      <c r="A68" s="325">
        <f t="shared" ref="A68:A110" si="7">A67+1</f>
        <v>273</v>
      </c>
      <c r="B68" s="336" t="str">
        <f>IF(C68=1,"",LOOKUP(C68,Cities!A$3:A$343,Cities!C$3:C$343))</f>
        <v/>
      </c>
      <c r="C68" s="338">
        <f t="shared" si="3"/>
        <v>1</v>
      </c>
      <c r="D68" s="337">
        <f t="shared" si="3"/>
        <v>0</v>
      </c>
      <c r="E68" s="812">
        <f>ROUND('Print Return'!$L$37*'Overflow (7)'!M14,0)</f>
        <v>0</v>
      </c>
      <c r="F68" s="955"/>
      <c r="G68" s="1524"/>
      <c r="H68" s="1524"/>
      <c r="I68" s="1525">
        <f>IF(Data!D$33=TRUE,'Overflows Worksheet'!K306,'Overflows Worksheet'!T306)</f>
        <v>0</v>
      </c>
      <c r="J68" s="1525"/>
      <c r="K68" s="853">
        <f>LOOKUP(C14,Cities!A$3:A$343,Cities!D$3:D$343)</f>
        <v>0</v>
      </c>
      <c r="L68" s="1522">
        <f t="shared" si="4"/>
        <v>0</v>
      </c>
      <c r="M68" s="1523"/>
      <c r="N68" s="339">
        <f>LOOKUP($C14,Cities!$A$3:$A$356,Cities!$V$3:$V$356)</f>
        <v>0</v>
      </c>
      <c r="O68" s="936" t="str">
        <f t="shared" si="5"/>
        <v/>
      </c>
      <c r="P68" s="785"/>
      <c r="Q68" s="785">
        <f t="shared" si="6"/>
        <v>0</v>
      </c>
      <c r="R68" s="171"/>
    </row>
    <row r="69" spans="1:18" ht="15" x14ac:dyDescent="0.2">
      <c r="A69" s="325">
        <f t="shared" si="7"/>
        <v>274</v>
      </c>
      <c r="B69" s="336" t="str">
        <f>IF(C69=1,"",LOOKUP(C69,Cities!A$3:A$343,Cities!C$3:C$343))</f>
        <v/>
      </c>
      <c r="C69" s="338">
        <f t="shared" si="3"/>
        <v>1</v>
      </c>
      <c r="D69" s="337">
        <f t="shared" si="3"/>
        <v>0</v>
      </c>
      <c r="E69" s="812">
        <f>ROUND('Print Return'!$L$37*'Overflow (7)'!M15,0)</f>
        <v>0</v>
      </c>
      <c r="F69" s="955"/>
      <c r="G69" s="1524"/>
      <c r="H69" s="1524"/>
      <c r="I69" s="1525">
        <f>IF(Data!D$33=TRUE,'Overflows Worksheet'!K307,'Overflows Worksheet'!T307)</f>
        <v>0</v>
      </c>
      <c r="J69" s="1525"/>
      <c r="K69" s="853">
        <f>LOOKUP(C15,Cities!A$3:A$343,Cities!D$3:D$343)</f>
        <v>0</v>
      </c>
      <c r="L69" s="1522">
        <f t="shared" si="4"/>
        <v>0</v>
      </c>
      <c r="M69" s="1523"/>
      <c r="N69" s="339">
        <f>LOOKUP($C15,Cities!$A$3:$A$356,Cities!$V$3:$V$356)</f>
        <v>0</v>
      </c>
      <c r="O69" s="936" t="str">
        <f t="shared" si="5"/>
        <v/>
      </c>
      <c r="P69" s="785"/>
      <c r="Q69" s="785">
        <f t="shared" si="6"/>
        <v>0</v>
      </c>
      <c r="R69" s="171"/>
    </row>
    <row r="70" spans="1:18" ht="15" x14ac:dyDescent="0.2">
      <c r="A70" s="325">
        <f t="shared" si="7"/>
        <v>275</v>
      </c>
      <c r="B70" s="336" t="str">
        <f>IF(C70=1,"",LOOKUP(C70,Cities!A$3:A$343,Cities!C$3:C$343))</f>
        <v/>
      </c>
      <c r="C70" s="338">
        <f t="shared" si="3"/>
        <v>1</v>
      </c>
      <c r="D70" s="337">
        <f t="shared" si="3"/>
        <v>0</v>
      </c>
      <c r="E70" s="812">
        <f>ROUND('Print Return'!$L$37*'Overflow (7)'!M16,0)</f>
        <v>0</v>
      </c>
      <c r="F70" s="955"/>
      <c r="G70" s="1524"/>
      <c r="H70" s="1524"/>
      <c r="I70" s="1525">
        <f>IF(Data!D$33=TRUE,'Overflows Worksheet'!K308,'Overflows Worksheet'!T308)</f>
        <v>0</v>
      </c>
      <c r="J70" s="1525"/>
      <c r="K70" s="853">
        <f>LOOKUP(C16,Cities!A$3:A$343,Cities!D$3:D$343)</f>
        <v>0</v>
      </c>
      <c r="L70" s="1522">
        <f t="shared" si="4"/>
        <v>0</v>
      </c>
      <c r="M70" s="1523"/>
      <c r="N70" s="339">
        <f>LOOKUP($C16,Cities!$A$3:$A$356,Cities!$V$3:$V$356)</f>
        <v>0</v>
      </c>
      <c r="O70" s="936" t="str">
        <f t="shared" si="5"/>
        <v/>
      </c>
      <c r="P70" s="785"/>
      <c r="Q70" s="785">
        <f t="shared" si="6"/>
        <v>0</v>
      </c>
      <c r="R70" s="171"/>
    </row>
    <row r="71" spans="1:18" ht="15" x14ac:dyDescent="0.2">
      <c r="A71" s="325">
        <f t="shared" si="7"/>
        <v>276</v>
      </c>
      <c r="B71" s="336" t="str">
        <f>IF(C71=1,"",LOOKUP(C71,Cities!A$3:A$343,Cities!C$3:C$343))</f>
        <v/>
      </c>
      <c r="C71" s="338">
        <f t="shared" si="3"/>
        <v>1</v>
      </c>
      <c r="D71" s="337">
        <f t="shared" si="3"/>
        <v>0</v>
      </c>
      <c r="E71" s="812">
        <f>ROUND('Print Return'!$L$37*'Overflow (7)'!M17,0)</f>
        <v>0</v>
      </c>
      <c r="F71" s="955"/>
      <c r="G71" s="1524"/>
      <c r="H71" s="1524"/>
      <c r="I71" s="1525">
        <f>IF(Data!D$33=TRUE,'Overflows Worksheet'!K309,'Overflows Worksheet'!T309)</f>
        <v>0</v>
      </c>
      <c r="J71" s="1525"/>
      <c r="K71" s="853">
        <f>LOOKUP(C17,Cities!A$3:A$343,Cities!D$3:D$343)</f>
        <v>0</v>
      </c>
      <c r="L71" s="1522">
        <f t="shared" si="4"/>
        <v>0</v>
      </c>
      <c r="M71" s="1523"/>
      <c r="N71" s="339">
        <f>LOOKUP($C17,Cities!$A$3:$A$356,Cities!$V$3:$V$356)</f>
        <v>0</v>
      </c>
      <c r="O71" s="936" t="str">
        <f t="shared" si="5"/>
        <v/>
      </c>
      <c r="P71" s="785"/>
      <c r="Q71" s="785">
        <f t="shared" si="6"/>
        <v>0</v>
      </c>
      <c r="R71" s="171"/>
    </row>
    <row r="72" spans="1:18" ht="15" x14ac:dyDescent="0.2">
      <c r="A72" s="325">
        <f t="shared" si="7"/>
        <v>277</v>
      </c>
      <c r="B72" s="336" t="str">
        <f>IF(C72=1,"",LOOKUP(C72,Cities!A$3:A$343,Cities!C$3:C$343))</f>
        <v/>
      </c>
      <c r="C72" s="338">
        <f t="shared" si="3"/>
        <v>1</v>
      </c>
      <c r="D72" s="337">
        <f t="shared" si="3"/>
        <v>0</v>
      </c>
      <c r="E72" s="812">
        <f>ROUND('Print Return'!$L$37*'Overflow (7)'!M18,0)</f>
        <v>0</v>
      </c>
      <c r="F72" s="955"/>
      <c r="G72" s="1524"/>
      <c r="H72" s="1524"/>
      <c r="I72" s="1525">
        <f>IF(Data!D$33=TRUE,'Overflows Worksheet'!K310,'Overflows Worksheet'!T310)</f>
        <v>0</v>
      </c>
      <c r="J72" s="1525"/>
      <c r="K72" s="853">
        <f>LOOKUP(C18,Cities!A$3:A$343,Cities!D$3:D$343)</f>
        <v>0</v>
      </c>
      <c r="L72" s="1522">
        <f t="shared" si="4"/>
        <v>0</v>
      </c>
      <c r="M72" s="1523"/>
      <c r="N72" s="339">
        <f>LOOKUP($C18,Cities!$A$3:$A$356,Cities!$V$3:$V$356)</f>
        <v>0</v>
      </c>
      <c r="O72" s="936" t="str">
        <f t="shared" si="5"/>
        <v/>
      </c>
      <c r="P72" s="785"/>
      <c r="Q72" s="785">
        <f t="shared" si="6"/>
        <v>0</v>
      </c>
      <c r="R72" s="171"/>
    </row>
    <row r="73" spans="1:18" ht="15" x14ac:dyDescent="0.2">
      <c r="A73" s="325">
        <f t="shared" si="7"/>
        <v>278</v>
      </c>
      <c r="B73" s="336" t="str">
        <f>IF(C73=1,"",LOOKUP(C73,Cities!A$3:A$343,Cities!C$3:C$343))</f>
        <v/>
      </c>
      <c r="C73" s="338">
        <f t="shared" si="3"/>
        <v>1</v>
      </c>
      <c r="D73" s="337">
        <f t="shared" si="3"/>
        <v>0</v>
      </c>
      <c r="E73" s="812">
        <f>ROUND('Print Return'!$L$37*'Overflow (7)'!M19,0)</f>
        <v>0</v>
      </c>
      <c r="F73" s="955"/>
      <c r="G73" s="1524"/>
      <c r="H73" s="1524"/>
      <c r="I73" s="1525">
        <f>IF(Data!D$33=TRUE,'Overflows Worksheet'!K311,'Overflows Worksheet'!T311)</f>
        <v>0</v>
      </c>
      <c r="J73" s="1525"/>
      <c r="K73" s="853">
        <f>LOOKUP(C19,Cities!A$3:A$343,Cities!D$3:D$343)</f>
        <v>0</v>
      </c>
      <c r="L73" s="1522">
        <f t="shared" si="4"/>
        <v>0</v>
      </c>
      <c r="M73" s="1523"/>
      <c r="N73" s="339">
        <f>LOOKUP($C19,Cities!$A$3:$A$356,Cities!$V$3:$V$356)</f>
        <v>0</v>
      </c>
      <c r="O73" s="936" t="str">
        <f t="shared" si="5"/>
        <v/>
      </c>
      <c r="P73" s="785"/>
      <c r="Q73" s="785">
        <f t="shared" si="6"/>
        <v>0</v>
      </c>
      <c r="R73" s="171"/>
    </row>
    <row r="74" spans="1:18" ht="15" x14ac:dyDescent="0.2">
      <c r="A74" s="325">
        <f t="shared" si="7"/>
        <v>279</v>
      </c>
      <c r="B74" s="336" t="str">
        <f>IF(C74=1,"",LOOKUP(C74,Cities!A$3:A$343,Cities!C$3:C$343))</f>
        <v/>
      </c>
      <c r="C74" s="338">
        <f t="shared" si="3"/>
        <v>1</v>
      </c>
      <c r="D74" s="337">
        <f t="shared" si="3"/>
        <v>0</v>
      </c>
      <c r="E74" s="812">
        <f>ROUND('Print Return'!$L$37*'Overflow (7)'!M20,0)</f>
        <v>0</v>
      </c>
      <c r="F74" s="955"/>
      <c r="G74" s="1524"/>
      <c r="H74" s="1524"/>
      <c r="I74" s="1525">
        <f>IF(Data!D$33=TRUE,'Overflows Worksheet'!K312,'Overflows Worksheet'!T312)</f>
        <v>0</v>
      </c>
      <c r="J74" s="1525"/>
      <c r="K74" s="853">
        <f>LOOKUP(C20,Cities!A$3:A$343,Cities!D$3:D$343)</f>
        <v>0</v>
      </c>
      <c r="L74" s="1522">
        <f t="shared" si="4"/>
        <v>0</v>
      </c>
      <c r="M74" s="1523"/>
      <c r="N74" s="339">
        <f>LOOKUP($C20,Cities!$A$3:$A$356,Cities!$V$3:$V$356)</f>
        <v>0</v>
      </c>
      <c r="O74" s="936" t="str">
        <f t="shared" si="5"/>
        <v/>
      </c>
      <c r="P74" s="785"/>
      <c r="Q74" s="785">
        <f t="shared" si="6"/>
        <v>0</v>
      </c>
      <c r="R74" s="171"/>
    </row>
    <row r="75" spans="1:18" ht="15" x14ac:dyDescent="0.2">
      <c r="A75" s="325">
        <f t="shared" si="7"/>
        <v>280</v>
      </c>
      <c r="B75" s="336" t="str">
        <f>IF(C75=1,"",LOOKUP(C75,Cities!A$3:A$343,Cities!C$3:C$343))</f>
        <v/>
      </c>
      <c r="C75" s="338">
        <f t="shared" si="3"/>
        <v>1</v>
      </c>
      <c r="D75" s="337">
        <f t="shared" si="3"/>
        <v>0</v>
      </c>
      <c r="E75" s="812">
        <f>ROUND('Print Return'!$L$37*'Overflow (7)'!M21,0)</f>
        <v>0</v>
      </c>
      <c r="F75" s="955"/>
      <c r="G75" s="1524"/>
      <c r="H75" s="1524"/>
      <c r="I75" s="1525">
        <f>IF(Data!D$33=TRUE,'Overflows Worksheet'!K313,'Overflows Worksheet'!T313)</f>
        <v>0</v>
      </c>
      <c r="J75" s="1525"/>
      <c r="K75" s="853">
        <f>LOOKUP(C21,Cities!A$3:A$343,Cities!D$3:D$343)</f>
        <v>0</v>
      </c>
      <c r="L75" s="1522">
        <f t="shared" si="4"/>
        <v>0</v>
      </c>
      <c r="M75" s="1523"/>
      <c r="N75" s="339">
        <f>LOOKUP($C21,Cities!$A$3:$A$356,Cities!$V$3:$V$356)</f>
        <v>0</v>
      </c>
      <c r="O75" s="936" t="str">
        <f t="shared" si="5"/>
        <v/>
      </c>
      <c r="P75" s="785"/>
      <c r="Q75" s="785">
        <f t="shared" si="6"/>
        <v>0</v>
      </c>
      <c r="R75" s="171"/>
    </row>
    <row r="76" spans="1:18" ht="15" x14ac:dyDescent="0.2">
      <c r="A76" s="325">
        <f t="shared" si="7"/>
        <v>281</v>
      </c>
      <c r="B76" s="336" t="str">
        <f>IF(C76=1,"",LOOKUP(C76,Cities!A$3:A$343,Cities!C$3:C$343))</f>
        <v/>
      </c>
      <c r="C76" s="338">
        <f t="shared" si="3"/>
        <v>1</v>
      </c>
      <c r="D76" s="337">
        <f t="shared" si="3"/>
        <v>0</v>
      </c>
      <c r="E76" s="812">
        <f>ROUND('Print Return'!$L$37*'Overflow (7)'!M22,0)</f>
        <v>0</v>
      </c>
      <c r="F76" s="955"/>
      <c r="G76" s="1524"/>
      <c r="H76" s="1524"/>
      <c r="I76" s="1525">
        <f>IF(Data!D$33=TRUE,'Overflows Worksheet'!K314,'Overflows Worksheet'!T314)</f>
        <v>0</v>
      </c>
      <c r="J76" s="1525"/>
      <c r="K76" s="853">
        <f>LOOKUP(C22,Cities!A$3:A$343,Cities!D$3:D$343)</f>
        <v>0</v>
      </c>
      <c r="L76" s="1522">
        <f t="shared" si="4"/>
        <v>0</v>
      </c>
      <c r="M76" s="1523"/>
      <c r="N76" s="339">
        <f>LOOKUP($C22,Cities!$A$3:$A$356,Cities!$V$3:$V$356)</f>
        <v>0</v>
      </c>
      <c r="O76" s="936" t="str">
        <f t="shared" si="5"/>
        <v/>
      </c>
      <c r="P76" s="785"/>
      <c r="Q76" s="785">
        <f t="shared" si="6"/>
        <v>0</v>
      </c>
      <c r="R76" s="171"/>
    </row>
    <row r="77" spans="1:18" ht="15" x14ac:dyDescent="0.2">
      <c r="A77" s="325">
        <f t="shared" si="7"/>
        <v>282</v>
      </c>
      <c r="B77" s="336" t="str">
        <f>IF(C77=1,"",LOOKUP(C77,Cities!A$3:A$343,Cities!C$3:C$343))</f>
        <v/>
      </c>
      <c r="C77" s="338">
        <f t="shared" si="3"/>
        <v>1</v>
      </c>
      <c r="D77" s="337">
        <f t="shared" si="3"/>
        <v>0</v>
      </c>
      <c r="E77" s="812">
        <f>ROUND('Print Return'!$L$37*'Overflow (7)'!M23,0)</f>
        <v>0</v>
      </c>
      <c r="F77" s="955"/>
      <c r="G77" s="1524"/>
      <c r="H77" s="1524"/>
      <c r="I77" s="1525">
        <f>IF(Data!D$33=TRUE,'Overflows Worksheet'!K315,'Overflows Worksheet'!T315)</f>
        <v>0</v>
      </c>
      <c r="J77" s="1525"/>
      <c r="K77" s="853">
        <f>LOOKUP(C23,Cities!A$3:A$343,Cities!D$3:D$343)</f>
        <v>0</v>
      </c>
      <c r="L77" s="1522">
        <f t="shared" si="4"/>
        <v>0</v>
      </c>
      <c r="M77" s="1523"/>
      <c r="N77" s="339">
        <f>LOOKUP($C23,Cities!$A$3:$A$356,Cities!$V$3:$V$356)</f>
        <v>0</v>
      </c>
      <c r="O77" s="936" t="str">
        <f t="shared" si="5"/>
        <v/>
      </c>
      <c r="P77" s="785"/>
      <c r="Q77" s="785">
        <f t="shared" si="6"/>
        <v>0</v>
      </c>
      <c r="R77" s="171"/>
    </row>
    <row r="78" spans="1:18" ht="15" x14ac:dyDescent="0.2">
      <c r="A78" s="325">
        <f t="shared" si="7"/>
        <v>283</v>
      </c>
      <c r="B78" s="336" t="str">
        <f>IF(C78=1,"",LOOKUP(C78,Cities!A$3:A$343,Cities!C$3:C$343))</f>
        <v/>
      </c>
      <c r="C78" s="338">
        <f t="shared" si="3"/>
        <v>1</v>
      </c>
      <c r="D78" s="337">
        <f t="shared" si="3"/>
        <v>0</v>
      </c>
      <c r="E78" s="812">
        <f>ROUND('Print Return'!$L$37*'Overflow (7)'!M24,0)</f>
        <v>0</v>
      </c>
      <c r="F78" s="955"/>
      <c r="G78" s="1524"/>
      <c r="H78" s="1524"/>
      <c r="I78" s="1525">
        <f>IF(Data!D$33=TRUE,'Overflows Worksheet'!K316,'Overflows Worksheet'!T316)</f>
        <v>0</v>
      </c>
      <c r="J78" s="1525"/>
      <c r="K78" s="853">
        <f>LOOKUP(C24,Cities!A$3:A$343,Cities!D$3:D$343)</f>
        <v>0</v>
      </c>
      <c r="L78" s="1522">
        <f t="shared" si="4"/>
        <v>0</v>
      </c>
      <c r="M78" s="1523"/>
      <c r="N78" s="339">
        <f>LOOKUP($C24,Cities!$A$3:$A$356,Cities!$V$3:$V$356)</f>
        <v>0</v>
      </c>
      <c r="O78" s="936" t="str">
        <f t="shared" si="5"/>
        <v/>
      </c>
      <c r="P78" s="785"/>
      <c r="Q78" s="785">
        <f t="shared" si="6"/>
        <v>0</v>
      </c>
      <c r="R78" s="171"/>
    </row>
    <row r="79" spans="1:18" ht="15" x14ac:dyDescent="0.2">
      <c r="A79" s="325">
        <f t="shared" si="7"/>
        <v>284</v>
      </c>
      <c r="B79" s="336" t="str">
        <f>IF(C79=1,"",LOOKUP(C79,Cities!A$3:A$343,Cities!C$3:C$343))</f>
        <v/>
      </c>
      <c r="C79" s="338">
        <f t="shared" si="3"/>
        <v>1</v>
      </c>
      <c r="D79" s="337">
        <f t="shared" si="3"/>
        <v>0</v>
      </c>
      <c r="E79" s="812">
        <f>ROUND('Print Return'!$L$37*'Overflow (7)'!M25,0)</f>
        <v>0</v>
      </c>
      <c r="F79" s="955"/>
      <c r="G79" s="1524"/>
      <c r="H79" s="1524"/>
      <c r="I79" s="1525">
        <f>IF(Data!D$33=TRUE,'Overflows Worksheet'!K317,'Overflows Worksheet'!T317)</f>
        <v>0</v>
      </c>
      <c r="J79" s="1525"/>
      <c r="K79" s="853">
        <f>LOOKUP(C25,Cities!A$3:A$343,Cities!D$3:D$343)</f>
        <v>0</v>
      </c>
      <c r="L79" s="1522">
        <f t="shared" si="4"/>
        <v>0</v>
      </c>
      <c r="M79" s="1523"/>
      <c r="N79" s="339">
        <f>LOOKUP($C25,Cities!$A$3:$A$356,Cities!$V$3:$V$356)</f>
        <v>0</v>
      </c>
      <c r="O79" s="936" t="str">
        <f t="shared" si="5"/>
        <v/>
      </c>
      <c r="P79" s="785"/>
      <c r="Q79" s="785">
        <f t="shared" si="6"/>
        <v>0</v>
      </c>
      <c r="R79" s="171"/>
    </row>
    <row r="80" spans="1:18" ht="15" x14ac:dyDescent="0.2">
      <c r="A80" s="325">
        <f t="shared" si="7"/>
        <v>285</v>
      </c>
      <c r="B80" s="336" t="str">
        <f>IF(C80=1,"",LOOKUP(C80,Cities!A$3:A$343,Cities!C$3:C$343))</f>
        <v/>
      </c>
      <c r="C80" s="338">
        <f t="shared" si="3"/>
        <v>1</v>
      </c>
      <c r="D80" s="337">
        <f t="shared" si="3"/>
        <v>0</v>
      </c>
      <c r="E80" s="812">
        <f>ROUND('Print Return'!$L$37*'Overflow (7)'!M26,0)</f>
        <v>0</v>
      </c>
      <c r="F80" s="955"/>
      <c r="G80" s="1524"/>
      <c r="H80" s="1524"/>
      <c r="I80" s="1525">
        <f>IF(Data!D$33=TRUE,'Overflows Worksheet'!K318,'Overflows Worksheet'!T318)</f>
        <v>0</v>
      </c>
      <c r="J80" s="1525"/>
      <c r="K80" s="853">
        <f>LOOKUP(C26,Cities!A$3:A$343,Cities!D$3:D$343)</f>
        <v>0</v>
      </c>
      <c r="L80" s="1522">
        <f t="shared" si="4"/>
        <v>0</v>
      </c>
      <c r="M80" s="1523"/>
      <c r="N80" s="339">
        <f>LOOKUP($C26,Cities!$A$3:$A$356,Cities!$V$3:$V$356)</f>
        <v>0</v>
      </c>
      <c r="O80" s="936" t="str">
        <f t="shared" si="5"/>
        <v/>
      </c>
      <c r="P80" s="785"/>
      <c r="Q80" s="785">
        <f t="shared" si="6"/>
        <v>0</v>
      </c>
      <c r="R80" s="171"/>
    </row>
    <row r="81" spans="1:18" ht="15" x14ac:dyDescent="0.2">
      <c r="A81" s="325">
        <f t="shared" si="7"/>
        <v>286</v>
      </c>
      <c r="B81" s="336" t="str">
        <f>IF(C81=1,"",LOOKUP(C81,Cities!A$3:A$343,Cities!C$3:C$343))</f>
        <v/>
      </c>
      <c r="C81" s="338">
        <f t="shared" si="3"/>
        <v>1</v>
      </c>
      <c r="D81" s="337">
        <f t="shared" si="3"/>
        <v>0</v>
      </c>
      <c r="E81" s="812">
        <f>ROUND('Print Return'!$L$37*'Overflow (7)'!M27,0)</f>
        <v>0</v>
      </c>
      <c r="F81" s="955"/>
      <c r="G81" s="1524"/>
      <c r="H81" s="1524"/>
      <c r="I81" s="1525">
        <f>IF(Data!D$33=TRUE,'Overflows Worksheet'!K319,'Overflows Worksheet'!T319)</f>
        <v>0</v>
      </c>
      <c r="J81" s="1525"/>
      <c r="K81" s="853">
        <f>LOOKUP(C27,Cities!A$3:A$343,Cities!D$3:D$343)</f>
        <v>0</v>
      </c>
      <c r="L81" s="1522">
        <f t="shared" si="4"/>
        <v>0</v>
      </c>
      <c r="M81" s="1523"/>
      <c r="N81" s="339">
        <f>LOOKUP($C27,Cities!$A$3:$A$356,Cities!$V$3:$V$356)</f>
        <v>0</v>
      </c>
      <c r="O81" s="936" t="str">
        <f t="shared" si="5"/>
        <v/>
      </c>
      <c r="P81" s="785"/>
      <c r="Q81" s="785">
        <f t="shared" si="6"/>
        <v>0</v>
      </c>
      <c r="R81" s="171"/>
    </row>
    <row r="82" spans="1:18" ht="15" x14ac:dyDescent="0.2">
      <c r="A82" s="325">
        <f t="shared" si="7"/>
        <v>287</v>
      </c>
      <c r="B82" s="336" t="str">
        <f>IF(C82=1,"",LOOKUP(C82,Cities!A$3:A$343,Cities!C$3:C$343))</f>
        <v/>
      </c>
      <c r="C82" s="338">
        <f t="shared" ref="C82:D97" si="8">+C28</f>
        <v>1</v>
      </c>
      <c r="D82" s="337">
        <f t="shared" si="8"/>
        <v>0</v>
      </c>
      <c r="E82" s="812">
        <f>ROUND('Print Return'!$L$37*'Overflow (7)'!M28,0)</f>
        <v>0</v>
      </c>
      <c r="F82" s="955"/>
      <c r="G82" s="1524"/>
      <c r="H82" s="1524"/>
      <c r="I82" s="1525">
        <f>IF(Data!D$33=TRUE,'Overflows Worksheet'!K320,'Overflows Worksheet'!T320)</f>
        <v>0</v>
      </c>
      <c r="J82" s="1525"/>
      <c r="K82" s="853">
        <f>LOOKUP(C28,Cities!A$3:A$343,Cities!D$3:D$343)</f>
        <v>0</v>
      </c>
      <c r="L82" s="1522">
        <f t="shared" si="4"/>
        <v>0</v>
      </c>
      <c r="M82" s="1523"/>
      <c r="N82" s="339">
        <f>LOOKUP($C28,Cities!$A$3:$A$356,Cities!$V$3:$V$356)</f>
        <v>0</v>
      </c>
      <c r="O82" s="936" t="str">
        <f t="shared" si="5"/>
        <v/>
      </c>
      <c r="P82" s="785"/>
      <c r="Q82" s="785">
        <f t="shared" si="6"/>
        <v>0</v>
      </c>
      <c r="R82" s="171"/>
    </row>
    <row r="83" spans="1:18" ht="15" x14ac:dyDescent="0.2">
      <c r="A83" s="325">
        <f t="shared" si="7"/>
        <v>288</v>
      </c>
      <c r="B83" s="336" t="str">
        <f>IF(C83=1,"",LOOKUP(C83,Cities!A$3:A$343,Cities!C$3:C$343))</f>
        <v/>
      </c>
      <c r="C83" s="338">
        <f t="shared" si="8"/>
        <v>1</v>
      </c>
      <c r="D83" s="337">
        <f t="shared" si="8"/>
        <v>0</v>
      </c>
      <c r="E83" s="812">
        <f>ROUND('Print Return'!$L$37*'Overflow (7)'!M29,0)</f>
        <v>0</v>
      </c>
      <c r="F83" s="955"/>
      <c r="G83" s="1524"/>
      <c r="H83" s="1524"/>
      <c r="I83" s="1525">
        <f>IF(Data!D$33=TRUE,'Overflows Worksheet'!K321,'Overflows Worksheet'!T321)</f>
        <v>0</v>
      </c>
      <c r="J83" s="1525"/>
      <c r="K83" s="853">
        <f>LOOKUP(C29,Cities!A$3:A$343,Cities!D$3:D$343)</f>
        <v>0</v>
      </c>
      <c r="L83" s="1522">
        <f t="shared" si="4"/>
        <v>0</v>
      </c>
      <c r="M83" s="1523"/>
      <c r="N83" s="339">
        <f>LOOKUP($C29,Cities!$A$3:$A$356,Cities!$V$3:$V$356)</f>
        <v>0</v>
      </c>
      <c r="O83" s="936" t="str">
        <f t="shared" si="5"/>
        <v/>
      </c>
      <c r="P83" s="785"/>
      <c r="Q83" s="785">
        <f t="shared" si="6"/>
        <v>0</v>
      </c>
      <c r="R83" s="171"/>
    </row>
    <row r="84" spans="1:18" ht="15" x14ac:dyDescent="0.2">
      <c r="A84" s="325">
        <f t="shared" si="7"/>
        <v>289</v>
      </c>
      <c r="B84" s="336" t="str">
        <f>IF(C84=1,"",LOOKUP(C84,Cities!A$3:A$343,Cities!C$3:C$343))</f>
        <v/>
      </c>
      <c r="C84" s="338">
        <f t="shared" si="8"/>
        <v>1</v>
      </c>
      <c r="D84" s="337">
        <f t="shared" si="8"/>
        <v>0</v>
      </c>
      <c r="E84" s="812">
        <f>ROUND('Print Return'!$L$37*'Overflow (7)'!M30,0)</f>
        <v>0</v>
      </c>
      <c r="F84" s="955"/>
      <c r="G84" s="1524"/>
      <c r="H84" s="1524"/>
      <c r="I84" s="1525">
        <f>IF(Data!D$33=TRUE,'Overflows Worksheet'!K322,'Overflows Worksheet'!T322)</f>
        <v>0</v>
      </c>
      <c r="J84" s="1525"/>
      <c r="K84" s="853">
        <f>LOOKUP(C30,Cities!A$3:A$343,Cities!D$3:D$343)</f>
        <v>0</v>
      </c>
      <c r="L84" s="1522">
        <f t="shared" si="4"/>
        <v>0</v>
      </c>
      <c r="M84" s="1523"/>
      <c r="N84" s="339">
        <f>LOOKUP($C30,Cities!$A$3:$A$356,Cities!$V$3:$V$356)</f>
        <v>0</v>
      </c>
      <c r="O84" s="936" t="str">
        <f t="shared" si="5"/>
        <v/>
      </c>
      <c r="P84" s="785"/>
      <c r="Q84" s="785">
        <f t="shared" si="6"/>
        <v>0</v>
      </c>
      <c r="R84" s="171"/>
    </row>
    <row r="85" spans="1:18" ht="15" x14ac:dyDescent="0.2">
      <c r="A85" s="325">
        <f t="shared" si="7"/>
        <v>290</v>
      </c>
      <c r="B85" s="336" t="str">
        <f>IF(C85=1,"",LOOKUP(C85,Cities!A$3:A$343,Cities!C$3:C$343))</f>
        <v/>
      </c>
      <c r="C85" s="338">
        <f t="shared" si="8"/>
        <v>1</v>
      </c>
      <c r="D85" s="337">
        <f t="shared" si="8"/>
        <v>0</v>
      </c>
      <c r="E85" s="812">
        <f>ROUND('Print Return'!$L$37*'Overflow (7)'!M31,0)</f>
        <v>0</v>
      </c>
      <c r="F85" s="955"/>
      <c r="G85" s="1524"/>
      <c r="H85" s="1524"/>
      <c r="I85" s="1525">
        <f>IF(Data!D$33=TRUE,'Overflows Worksheet'!K323,'Overflows Worksheet'!T323)</f>
        <v>0</v>
      </c>
      <c r="J85" s="1525"/>
      <c r="K85" s="853">
        <f>LOOKUP(C31,Cities!A$3:A$343,Cities!D$3:D$343)</f>
        <v>0</v>
      </c>
      <c r="L85" s="1522">
        <f t="shared" si="4"/>
        <v>0</v>
      </c>
      <c r="M85" s="1523"/>
      <c r="N85" s="339">
        <f>LOOKUP($C31,Cities!$A$3:$A$356,Cities!$V$3:$V$356)</f>
        <v>0</v>
      </c>
      <c r="O85" s="936" t="str">
        <f t="shared" si="5"/>
        <v/>
      </c>
      <c r="P85" s="785"/>
      <c r="Q85" s="785">
        <f t="shared" si="6"/>
        <v>0</v>
      </c>
      <c r="R85" s="171"/>
    </row>
    <row r="86" spans="1:18" ht="15" x14ac:dyDescent="0.2">
      <c r="A86" s="325">
        <f t="shared" si="7"/>
        <v>291</v>
      </c>
      <c r="B86" s="336" t="str">
        <f>IF(C86=1,"",LOOKUP(C86,Cities!A$3:A$343,Cities!C$3:C$343))</f>
        <v/>
      </c>
      <c r="C86" s="338">
        <f t="shared" si="8"/>
        <v>1</v>
      </c>
      <c r="D86" s="337">
        <f t="shared" si="8"/>
        <v>0</v>
      </c>
      <c r="E86" s="812">
        <f>ROUND('Print Return'!$L$37*'Overflow (7)'!M32,0)</f>
        <v>0</v>
      </c>
      <c r="F86" s="955"/>
      <c r="G86" s="1524"/>
      <c r="H86" s="1524"/>
      <c r="I86" s="1525">
        <f>IF(Data!D$33=TRUE,'Overflows Worksheet'!K324,'Overflows Worksheet'!T324)</f>
        <v>0</v>
      </c>
      <c r="J86" s="1525"/>
      <c r="K86" s="853">
        <f>LOOKUP(C32,Cities!A$3:A$343,Cities!D$3:D$343)</f>
        <v>0</v>
      </c>
      <c r="L86" s="1522">
        <f t="shared" si="4"/>
        <v>0</v>
      </c>
      <c r="M86" s="1523"/>
      <c r="N86" s="339">
        <f>LOOKUP($C32,Cities!$A$3:$A$356,Cities!$V$3:$V$356)</f>
        <v>0</v>
      </c>
      <c r="O86" s="936" t="str">
        <f t="shared" si="5"/>
        <v/>
      </c>
      <c r="P86" s="785"/>
      <c r="Q86" s="785">
        <f t="shared" si="6"/>
        <v>0</v>
      </c>
      <c r="R86" s="171"/>
    </row>
    <row r="87" spans="1:18" ht="15" x14ac:dyDescent="0.2">
      <c r="A87" s="325">
        <f t="shared" si="7"/>
        <v>292</v>
      </c>
      <c r="B87" s="336" t="str">
        <f>IF(C87=1,"",LOOKUP(C87,Cities!A$3:A$343,Cities!C$3:C$343))</f>
        <v/>
      </c>
      <c r="C87" s="338">
        <f t="shared" si="8"/>
        <v>1</v>
      </c>
      <c r="D87" s="337">
        <f t="shared" si="8"/>
        <v>0</v>
      </c>
      <c r="E87" s="812">
        <f>ROUND('Print Return'!$L$37*'Overflow (7)'!M33,0)</f>
        <v>0</v>
      </c>
      <c r="F87" s="955"/>
      <c r="G87" s="1524"/>
      <c r="H87" s="1524"/>
      <c r="I87" s="1525">
        <f>IF(Data!D$33=TRUE,'Overflows Worksheet'!K325,'Overflows Worksheet'!T325)</f>
        <v>0</v>
      </c>
      <c r="J87" s="1525"/>
      <c r="K87" s="853">
        <f>LOOKUP(C33,Cities!A$3:A$343,Cities!D$3:D$343)</f>
        <v>0</v>
      </c>
      <c r="L87" s="1522">
        <f t="shared" si="4"/>
        <v>0</v>
      </c>
      <c r="M87" s="1523"/>
      <c r="N87" s="339">
        <f>LOOKUP($C33,Cities!$A$3:$A$356,Cities!$V$3:$V$356)</f>
        <v>0</v>
      </c>
      <c r="O87" s="936" t="str">
        <f t="shared" si="5"/>
        <v/>
      </c>
      <c r="P87" s="785"/>
      <c r="Q87" s="785">
        <f t="shared" si="6"/>
        <v>0</v>
      </c>
      <c r="R87" s="171"/>
    </row>
    <row r="88" spans="1:18" ht="15" x14ac:dyDescent="0.2">
      <c r="A88" s="325">
        <f t="shared" si="7"/>
        <v>293</v>
      </c>
      <c r="B88" s="336" t="str">
        <f>IF(C88=1,"",LOOKUP(C88,Cities!A$3:A$343,Cities!C$3:C$343))</f>
        <v/>
      </c>
      <c r="C88" s="338">
        <f t="shared" si="8"/>
        <v>1</v>
      </c>
      <c r="D88" s="337">
        <f t="shared" si="8"/>
        <v>0</v>
      </c>
      <c r="E88" s="812">
        <f>ROUND('Print Return'!$L$37*'Overflow (7)'!M34,0)</f>
        <v>0</v>
      </c>
      <c r="F88" s="955"/>
      <c r="G88" s="1524"/>
      <c r="H88" s="1524"/>
      <c r="I88" s="1525">
        <f>IF(Data!D$33=TRUE,'Overflows Worksheet'!K326,'Overflows Worksheet'!T326)</f>
        <v>0</v>
      </c>
      <c r="J88" s="1525"/>
      <c r="K88" s="853">
        <f>LOOKUP(C34,Cities!A$3:A$343,Cities!D$3:D$343)</f>
        <v>0</v>
      </c>
      <c r="L88" s="1522">
        <f t="shared" si="4"/>
        <v>0</v>
      </c>
      <c r="M88" s="1523"/>
      <c r="N88" s="339">
        <f>LOOKUP($C34,Cities!$A$3:$A$356,Cities!$V$3:$V$356)</f>
        <v>0</v>
      </c>
      <c r="O88" s="936" t="str">
        <f t="shared" si="5"/>
        <v/>
      </c>
      <c r="P88" s="785"/>
      <c r="Q88" s="785">
        <f t="shared" si="6"/>
        <v>0</v>
      </c>
      <c r="R88" s="171"/>
    </row>
    <row r="89" spans="1:18" ht="15" x14ac:dyDescent="0.2">
      <c r="A89" s="325">
        <f t="shared" si="7"/>
        <v>294</v>
      </c>
      <c r="B89" s="336" t="str">
        <f>IF(C89=1,"",LOOKUP(C89,Cities!A$3:A$343,Cities!C$3:C$343))</f>
        <v/>
      </c>
      <c r="C89" s="338">
        <f t="shared" si="8"/>
        <v>1</v>
      </c>
      <c r="D89" s="337">
        <f t="shared" si="8"/>
        <v>0</v>
      </c>
      <c r="E89" s="812">
        <f>ROUND('Print Return'!$L$37*'Overflow (7)'!M35,0)</f>
        <v>0</v>
      </c>
      <c r="F89" s="955"/>
      <c r="G89" s="1524"/>
      <c r="H89" s="1524"/>
      <c r="I89" s="1525">
        <f>IF(Data!D$33=TRUE,'Overflows Worksheet'!K327,'Overflows Worksheet'!T327)</f>
        <v>0</v>
      </c>
      <c r="J89" s="1525"/>
      <c r="K89" s="853">
        <f>LOOKUP(C35,Cities!A$3:A$343,Cities!D$3:D$343)</f>
        <v>0</v>
      </c>
      <c r="L89" s="1522">
        <f t="shared" si="4"/>
        <v>0</v>
      </c>
      <c r="M89" s="1523"/>
      <c r="N89" s="339">
        <f>LOOKUP($C35,Cities!$A$3:$A$356,Cities!$V$3:$V$356)</f>
        <v>0</v>
      </c>
      <c r="O89" s="936" t="str">
        <f t="shared" si="5"/>
        <v/>
      </c>
      <c r="P89" s="785"/>
      <c r="Q89" s="785">
        <f t="shared" si="6"/>
        <v>0</v>
      </c>
      <c r="R89" s="171"/>
    </row>
    <row r="90" spans="1:18" ht="15" x14ac:dyDescent="0.2">
      <c r="A90" s="325">
        <f t="shared" si="7"/>
        <v>295</v>
      </c>
      <c r="B90" s="336" t="str">
        <f>IF(C90=1,"",LOOKUP(C90,Cities!A$3:A$343,Cities!C$3:C$343))</f>
        <v/>
      </c>
      <c r="C90" s="338">
        <f t="shared" si="8"/>
        <v>1</v>
      </c>
      <c r="D90" s="337">
        <f t="shared" si="8"/>
        <v>0</v>
      </c>
      <c r="E90" s="812">
        <f>ROUND('Print Return'!$L$37*'Overflow (7)'!M36,0)</f>
        <v>0</v>
      </c>
      <c r="F90" s="955"/>
      <c r="G90" s="1524"/>
      <c r="H90" s="1524"/>
      <c r="I90" s="1525">
        <f>IF(Data!D$33=TRUE,'Overflows Worksheet'!K328,'Overflows Worksheet'!T328)</f>
        <v>0</v>
      </c>
      <c r="J90" s="1525"/>
      <c r="K90" s="853">
        <f>LOOKUP(C36,Cities!A$3:A$343,Cities!D$3:D$343)</f>
        <v>0</v>
      </c>
      <c r="L90" s="1522">
        <f t="shared" si="4"/>
        <v>0</v>
      </c>
      <c r="M90" s="1523"/>
      <c r="N90" s="339">
        <f>LOOKUP($C36,Cities!$A$3:$A$356,Cities!$V$3:$V$356)</f>
        <v>0</v>
      </c>
      <c r="O90" s="936" t="str">
        <f t="shared" si="5"/>
        <v/>
      </c>
      <c r="P90" s="785"/>
      <c r="Q90" s="785">
        <f t="shared" si="6"/>
        <v>0</v>
      </c>
      <c r="R90" s="171"/>
    </row>
    <row r="91" spans="1:18" ht="15" x14ac:dyDescent="0.2">
      <c r="A91" s="325">
        <f t="shared" si="7"/>
        <v>296</v>
      </c>
      <c r="B91" s="336" t="str">
        <f>IF(C91=1,"",LOOKUP(C91,Cities!A$3:A$343,Cities!C$3:C$343))</f>
        <v/>
      </c>
      <c r="C91" s="338">
        <f t="shared" si="8"/>
        <v>1</v>
      </c>
      <c r="D91" s="337">
        <f t="shared" si="8"/>
        <v>0</v>
      </c>
      <c r="E91" s="812">
        <f>ROUND('Print Return'!$L$37*'Overflow (7)'!M37,0)</f>
        <v>0</v>
      </c>
      <c r="F91" s="955"/>
      <c r="G91" s="1524"/>
      <c r="H91" s="1524"/>
      <c r="I91" s="1525">
        <f>IF(Data!D$33=TRUE,'Overflows Worksheet'!K329,'Overflows Worksheet'!T329)</f>
        <v>0</v>
      </c>
      <c r="J91" s="1525"/>
      <c r="K91" s="853">
        <f>LOOKUP(C37,Cities!A$3:A$343,Cities!D$3:D$343)</f>
        <v>0</v>
      </c>
      <c r="L91" s="1522">
        <f t="shared" si="4"/>
        <v>0</v>
      </c>
      <c r="M91" s="1523"/>
      <c r="N91" s="339">
        <f>LOOKUP($C37,Cities!$A$3:$A$356,Cities!$V$3:$V$356)</f>
        <v>0</v>
      </c>
      <c r="O91" s="936" t="str">
        <f t="shared" si="5"/>
        <v/>
      </c>
      <c r="P91" s="785"/>
      <c r="Q91" s="785">
        <f t="shared" si="6"/>
        <v>0</v>
      </c>
      <c r="R91" s="171"/>
    </row>
    <row r="92" spans="1:18" ht="15" x14ac:dyDescent="0.2">
      <c r="A92" s="325">
        <f t="shared" si="7"/>
        <v>297</v>
      </c>
      <c r="B92" s="336" t="str">
        <f>IF(C92=1,"",LOOKUP(C92,Cities!A$3:A$343,Cities!C$3:C$343))</f>
        <v/>
      </c>
      <c r="C92" s="338">
        <f t="shared" si="8"/>
        <v>1</v>
      </c>
      <c r="D92" s="337">
        <f t="shared" si="8"/>
        <v>0</v>
      </c>
      <c r="E92" s="812">
        <f>ROUND('Print Return'!$L$37*'Overflow (7)'!M38,0)</f>
        <v>0</v>
      </c>
      <c r="F92" s="955"/>
      <c r="G92" s="1524"/>
      <c r="H92" s="1524"/>
      <c r="I92" s="1525">
        <f>IF(Data!D$33=TRUE,'Overflows Worksheet'!K330,'Overflows Worksheet'!T330)</f>
        <v>0</v>
      </c>
      <c r="J92" s="1525"/>
      <c r="K92" s="853">
        <f>LOOKUP(C38,Cities!A$3:A$343,Cities!D$3:D$343)</f>
        <v>0</v>
      </c>
      <c r="L92" s="1522">
        <f t="shared" si="4"/>
        <v>0</v>
      </c>
      <c r="M92" s="1523"/>
      <c r="N92" s="339">
        <f>LOOKUP($C38,Cities!$A$3:$A$356,Cities!$V$3:$V$356)</f>
        <v>0</v>
      </c>
      <c r="O92" s="936" t="str">
        <f t="shared" si="5"/>
        <v/>
      </c>
      <c r="P92" s="785"/>
      <c r="Q92" s="785">
        <f t="shared" si="6"/>
        <v>0</v>
      </c>
      <c r="R92" s="171"/>
    </row>
    <row r="93" spans="1:18" ht="15" x14ac:dyDescent="0.2">
      <c r="A93" s="325">
        <f t="shared" si="7"/>
        <v>298</v>
      </c>
      <c r="B93" s="336" t="str">
        <f>IF(C93=1,"",LOOKUP(C93,Cities!A$3:A$343,Cities!C$3:C$343))</f>
        <v/>
      </c>
      <c r="C93" s="338">
        <f t="shared" si="8"/>
        <v>1</v>
      </c>
      <c r="D93" s="337">
        <f t="shared" si="8"/>
        <v>0</v>
      </c>
      <c r="E93" s="812">
        <f>ROUND('Print Return'!$L$37*'Overflow (7)'!M39,0)</f>
        <v>0</v>
      </c>
      <c r="F93" s="955"/>
      <c r="G93" s="1524"/>
      <c r="H93" s="1524"/>
      <c r="I93" s="1525">
        <f>IF(Data!D$33=TRUE,'Overflows Worksheet'!K331,'Overflows Worksheet'!T331)</f>
        <v>0</v>
      </c>
      <c r="J93" s="1525"/>
      <c r="K93" s="853">
        <f>LOOKUP(C39,Cities!A$3:A$343,Cities!D$3:D$343)</f>
        <v>0</v>
      </c>
      <c r="L93" s="1522">
        <f t="shared" si="4"/>
        <v>0</v>
      </c>
      <c r="M93" s="1523"/>
      <c r="N93" s="339">
        <f>LOOKUP($C39,Cities!$A$3:$A$356,Cities!$V$3:$V$356)</f>
        <v>0</v>
      </c>
      <c r="O93" s="936" t="str">
        <f t="shared" si="5"/>
        <v/>
      </c>
      <c r="P93" s="785"/>
      <c r="Q93" s="785">
        <f t="shared" si="6"/>
        <v>0</v>
      </c>
      <c r="R93" s="171"/>
    </row>
    <row r="94" spans="1:18" ht="15" x14ac:dyDescent="0.2">
      <c r="A94" s="325">
        <f t="shared" si="7"/>
        <v>299</v>
      </c>
      <c r="B94" s="336" t="str">
        <f>IF(C94=1,"",LOOKUP(C94,Cities!A$3:A$343,Cities!C$3:C$343))</f>
        <v/>
      </c>
      <c r="C94" s="338">
        <f t="shared" si="8"/>
        <v>1</v>
      </c>
      <c r="D94" s="337">
        <f t="shared" si="8"/>
        <v>0</v>
      </c>
      <c r="E94" s="812">
        <f>ROUND('Print Return'!$L$37*'Overflow (7)'!M40,0)</f>
        <v>0</v>
      </c>
      <c r="F94" s="955"/>
      <c r="G94" s="1524"/>
      <c r="H94" s="1524"/>
      <c r="I94" s="1525">
        <f>IF(Data!D$33=TRUE,'Overflows Worksheet'!K332,'Overflows Worksheet'!T332)</f>
        <v>0</v>
      </c>
      <c r="J94" s="1525"/>
      <c r="K94" s="853">
        <f>LOOKUP(C40,Cities!A$3:A$343,Cities!D$3:D$343)</f>
        <v>0</v>
      </c>
      <c r="L94" s="1522">
        <f t="shared" si="4"/>
        <v>0</v>
      </c>
      <c r="M94" s="1523"/>
      <c r="N94" s="339">
        <f>LOOKUP($C40,Cities!$A$3:$A$356,Cities!$V$3:$V$356)</f>
        <v>0</v>
      </c>
      <c r="O94" s="936" t="str">
        <f t="shared" si="5"/>
        <v/>
      </c>
      <c r="P94" s="785"/>
      <c r="Q94" s="785">
        <f t="shared" si="6"/>
        <v>0</v>
      </c>
      <c r="R94" s="171"/>
    </row>
    <row r="95" spans="1:18" ht="15" x14ac:dyDescent="0.2">
      <c r="A95" s="325">
        <f t="shared" si="7"/>
        <v>300</v>
      </c>
      <c r="B95" s="336" t="str">
        <f>IF(C95=1,"",LOOKUP(C95,Cities!A$3:A$343,Cities!C$3:C$343))</f>
        <v/>
      </c>
      <c r="C95" s="338">
        <f t="shared" si="8"/>
        <v>1</v>
      </c>
      <c r="D95" s="337">
        <f t="shared" si="8"/>
        <v>0</v>
      </c>
      <c r="E95" s="812">
        <f>ROUND('Print Return'!$L$37*'Overflow (7)'!M41,0)</f>
        <v>0</v>
      </c>
      <c r="F95" s="955"/>
      <c r="G95" s="1524"/>
      <c r="H95" s="1524"/>
      <c r="I95" s="1525">
        <f>IF(Data!D$33=TRUE,'Overflows Worksheet'!K333,'Overflows Worksheet'!T333)</f>
        <v>0</v>
      </c>
      <c r="J95" s="1525"/>
      <c r="K95" s="853">
        <f>LOOKUP(C41,Cities!A$3:A$343,Cities!D$3:D$343)</f>
        <v>0</v>
      </c>
      <c r="L95" s="1522">
        <f t="shared" si="4"/>
        <v>0</v>
      </c>
      <c r="M95" s="1523"/>
      <c r="N95" s="339">
        <f>LOOKUP($C41,Cities!$A$3:$A$356,Cities!$V$3:$V$356)</f>
        <v>0</v>
      </c>
      <c r="O95" s="936" t="str">
        <f t="shared" si="5"/>
        <v/>
      </c>
      <c r="P95" s="785"/>
      <c r="Q95" s="785">
        <f t="shared" si="6"/>
        <v>0</v>
      </c>
      <c r="R95" s="171"/>
    </row>
    <row r="96" spans="1:18" ht="15" x14ac:dyDescent="0.2">
      <c r="A96" s="325">
        <f t="shared" si="7"/>
        <v>301</v>
      </c>
      <c r="B96" s="336" t="str">
        <f>IF(C96=1,"",LOOKUP(C96,Cities!A$3:A$343,Cities!C$3:C$343))</f>
        <v/>
      </c>
      <c r="C96" s="338">
        <f t="shared" si="8"/>
        <v>1</v>
      </c>
      <c r="D96" s="337">
        <f t="shared" si="8"/>
        <v>0</v>
      </c>
      <c r="E96" s="812">
        <f>ROUND('Print Return'!$L$37*'Overflow (7)'!M42,0)</f>
        <v>0</v>
      </c>
      <c r="F96" s="955"/>
      <c r="G96" s="1524"/>
      <c r="H96" s="1524"/>
      <c r="I96" s="1525">
        <f>IF(Data!D$33=TRUE,'Overflows Worksheet'!K334,'Overflows Worksheet'!T334)</f>
        <v>0</v>
      </c>
      <c r="J96" s="1525"/>
      <c r="K96" s="853">
        <f>LOOKUP(C42,Cities!A$3:A$343,Cities!D$3:D$343)</f>
        <v>0</v>
      </c>
      <c r="L96" s="1522">
        <f t="shared" si="4"/>
        <v>0</v>
      </c>
      <c r="M96" s="1523"/>
      <c r="N96" s="339">
        <f>LOOKUP($C42,Cities!$A$3:$A$356,Cities!$V$3:$V$356)</f>
        <v>0</v>
      </c>
      <c r="O96" s="936" t="str">
        <f t="shared" si="5"/>
        <v/>
      </c>
      <c r="P96" s="785"/>
      <c r="Q96" s="785">
        <f t="shared" si="6"/>
        <v>0</v>
      </c>
      <c r="R96" s="171"/>
    </row>
    <row r="97" spans="1:18" ht="15" x14ac:dyDescent="0.2">
      <c r="A97" s="325">
        <f t="shared" si="7"/>
        <v>302</v>
      </c>
      <c r="B97" s="336" t="str">
        <f>IF(C97=1,"",LOOKUP(C97,Cities!A$3:A$343,Cities!C$3:C$343))</f>
        <v/>
      </c>
      <c r="C97" s="338">
        <f t="shared" si="8"/>
        <v>1</v>
      </c>
      <c r="D97" s="337">
        <f t="shared" si="8"/>
        <v>0</v>
      </c>
      <c r="E97" s="812">
        <f>ROUND('Print Return'!$L$37*'Overflow (7)'!M43,0)</f>
        <v>0</v>
      </c>
      <c r="F97" s="955"/>
      <c r="G97" s="1524"/>
      <c r="H97" s="1524"/>
      <c r="I97" s="1525">
        <f>IF(Data!D$33=TRUE,'Overflows Worksheet'!K335,'Overflows Worksheet'!T335)</f>
        <v>0</v>
      </c>
      <c r="J97" s="1525"/>
      <c r="K97" s="853">
        <f>LOOKUP(C43,Cities!A$3:A$343,Cities!D$3:D$343)</f>
        <v>0</v>
      </c>
      <c r="L97" s="1522">
        <f t="shared" si="4"/>
        <v>0</v>
      </c>
      <c r="M97" s="1523"/>
      <c r="N97" s="339">
        <f>LOOKUP($C43,Cities!$A$3:$A$356,Cities!$V$3:$V$356)</f>
        <v>0</v>
      </c>
      <c r="O97" s="936" t="str">
        <f t="shared" si="5"/>
        <v/>
      </c>
      <c r="P97" s="785"/>
      <c r="Q97" s="785">
        <f t="shared" si="6"/>
        <v>0</v>
      </c>
      <c r="R97" s="171"/>
    </row>
    <row r="98" spans="1:18" ht="15" x14ac:dyDescent="0.2">
      <c r="A98" s="325">
        <f t="shared" si="7"/>
        <v>303</v>
      </c>
      <c r="B98" s="336" t="str">
        <f>IF(C98=1,"",LOOKUP(C98,Cities!A$3:A$343,Cities!C$3:C$343))</f>
        <v/>
      </c>
      <c r="C98" s="338">
        <f t="shared" ref="C98:D110" si="9">+C44</f>
        <v>1</v>
      </c>
      <c r="D98" s="337">
        <f t="shared" si="9"/>
        <v>0</v>
      </c>
      <c r="E98" s="812">
        <f>ROUND('Print Return'!$L$37*'Overflow (7)'!M44,0)</f>
        <v>0</v>
      </c>
      <c r="F98" s="955"/>
      <c r="G98" s="1524"/>
      <c r="H98" s="1524"/>
      <c r="I98" s="1525">
        <f>IF(Data!D$33=TRUE,'Overflows Worksheet'!K336,'Overflows Worksheet'!T336)</f>
        <v>0</v>
      </c>
      <c r="J98" s="1525"/>
      <c r="K98" s="853">
        <f>LOOKUP(C44,Cities!A$3:A$343,Cities!D$3:D$343)</f>
        <v>0</v>
      </c>
      <c r="L98" s="1522">
        <f t="shared" si="4"/>
        <v>0</v>
      </c>
      <c r="M98" s="1523"/>
      <c r="N98" s="339">
        <f>LOOKUP($C44,Cities!$A$3:$A$356,Cities!$V$3:$V$356)</f>
        <v>0</v>
      </c>
      <c r="O98" s="936" t="str">
        <f t="shared" si="5"/>
        <v/>
      </c>
      <c r="P98" s="785"/>
      <c r="Q98" s="785">
        <f t="shared" si="6"/>
        <v>0</v>
      </c>
      <c r="R98" s="171"/>
    </row>
    <row r="99" spans="1:18" ht="15" x14ac:dyDescent="0.2">
      <c r="A99" s="325">
        <f t="shared" si="7"/>
        <v>304</v>
      </c>
      <c r="B99" s="336" t="str">
        <f>IF(C99=1,"",LOOKUP(C99,Cities!A$3:A$343,Cities!C$3:C$343))</f>
        <v/>
      </c>
      <c r="C99" s="338">
        <f t="shared" si="9"/>
        <v>1</v>
      </c>
      <c r="D99" s="337">
        <f t="shared" si="9"/>
        <v>0</v>
      </c>
      <c r="E99" s="812">
        <f>ROUND('Print Return'!$L$37*'Overflow (7)'!M45,0)</f>
        <v>0</v>
      </c>
      <c r="F99" s="955"/>
      <c r="G99" s="1524"/>
      <c r="H99" s="1524"/>
      <c r="I99" s="1525">
        <f>IF(Data!D$33=TRUE,'Overflows Worksheet'!K337,'Overflows Worksheet'!T337)</f>
        <v>0</v>
      </c>
      <c r="J99" s="1525"/>
      <c r="K99" s="853">
        <f>LOOKUP(C45,Cities!A$3:A$343,Cities!D$3:D$343)</f>
        <v>0</v>
      </c>
      <c r="L99" s="1522">
        <f t="shared" si="4"/>
        <v>0</v>
      </c>
      <c r="M99" s="1523"/>
      <c r="N99" s="339">
        <f>LOOKUP($C45,Cities!$A$3:$A$356,Cities!$V$3:$V$356)</f>
        <v>0</v>
      </c>
      <c r="O99" s="936" t="str">
        <f t="shared" si="5"/>
        <v/>
      </c>
      <c r="P99" s="785"/>
      <c r="Q99" s="785">
        <f t="shared" si="6"/>
        <v>0</v>
      </c>
      <c r="R99" s="171"/>
    </row>
    <row r="100" spans="1:18" ht="15" x14ac:dyDescent="0.2">
      <c r="A100" s="325">
        <f t="shared" si="7"/>
        <v>305</v>
      </c>
      <c r="B100" s="336" t="str">
        <f>IF(C100=1,"",LOOKUP(C100,Cities!A$3:A$343,Cities!C$3:C$343))</f>
        <v/>
      </c>
      <c r="C100" s="338">
        <f t="shared" si="9"/>
        <v>1</v>
      </c>
      <c r="D100" s="337">
        <f t="shared" si="9"/>
        <v>0</v>
      </c>
      <c r="E100" s="812">
        <f>ROUND('Print Return'!$L$37*'Overflow (7)'!M46,0)</f>
        <v>0</v>
      </c>
      <c r="F100" s="955"/>
      <c r="G100" s="1524"/>
      <c r="H100" s="1524"/>
      <c r="I100" s="1525">
        <f>IF(Data!D$33=TRUE,'Overflows Worksheet'!K338,'Overflows Worksheet'!T338)</f>
        <v>0</v>
      </c>
      <c r="J100" s="1525"/>
      <c r="K100" s="853">
        <f>LOOKUP(C46,Cities!A$3:A$343,Cities!D$3:D$343)</f>
        <v>0</v>
      </c>
      <c r="L100" s="1522">
        <f t="shared" si="4"/>
        <v>0</v>
      </c>
      <c r="M100" s="1523"/>
      <c r="N100" s="339">
        <f>LOOKUP($C46,Cities!$A$3:$A$356,Cities!$V$3:$V$356)</f>
        <v>0</v>
      </c>
      <c r="O100" s="936" t="str">
        <f t="shared" si="5"/>
        <v/>
      </c>
      <c r="P100" s="785"/>
      <c r="Q100" s="785">
        <f t="shared" si="6"/>
        <v>0</v>
      </c>
      <c r="R100" s="171"/>
    </row>
    <row r="101" spans="1:18" ht="15" x14ac:dyDescent="0.2">
      <c r="A101" s="325">
        <f t="shared" si="7"/>
        <v>306</v>
      </c>
      <c r="B101" s="336" t="str">
        <f>IF(C101=1,"",LOOKUP(C101,Cities!A$3:A$343,Cities!C$3:C$343))</f>
        <v/>
      </c>
      <c r="C101" s="338">
        <f t="shared" si="9"/>
        <v>1</v>
      </c>
      <c r="D101" s="337">
        <f t="shared" si="9"/>
        <v>0</v>
      </c>
      <c r="E101" s="812">
        <f>ROUND('Print Return'!$L$37*'Overflow (7)'!M47,0)</f>
        <v>0</v>
      </c>
      <c r="F101" s="955"/>
      <c r="G101" s="1524"/>
      <c r="H101" s="1524"/>
      <c r="I101" s="1525">
        <f>IF(Data!D$33=TRUE,'Overflows Worksheet'!K339,'Overflows Worksheet'!T339)</f>
        <v>0</v>
      </c>
      <c r="J101" s="1525"/>
      <c r="K101" s="853">
        <f>LOOKUP(C47,Cities!A$3:A$343,Cities!D$3:D$343)</f>
        <v>0</v>
      </c>
      <c r="L101" s="1522">
        <f t="shared" si="4"/>
        <v>0</v>
      </c>
      <c r="M101" s="1523"/>
      <c r="N101" s="339">
        <f>LOOKUP($C47,Cities!$A$3:$A$356,Cities!$V$3:$V$356)</f>
        <v>0</v>
      </c>
      <c r="O101" s="936" t="str">
        <f t="shared" si="5"/>
        <v/>
      </c>
      <c r="P101" s="785"/>
      <c r="Q101" s="785">
        <f t="shared" si="6"/>
        <v>0</v>
      </c>
      <c r="R101" s="171"/>
    </row>
    <row r="102" spans="1:18" ht="15" x14ac:dyDescent="0.2">
      <c r="A102" s="325">
        <f t="shared" si="7"/>
        <v>307</v>
      </c>
      <c r="B102" s="336" t="str">
        <f>IF(C102=1,"",LOOKUP(C102,Cities!A$3:A$343,Cities!C$3:C$343))</f>
        <v/>
      </c>
      <c r="C102" s="338">
        <f t="shared" si="9"/>
        <v>1</v>
      </c>
      <c r="D102" s="337">
        <f t="shared" si="9"/>
        <v>0</v>
      </c>
      <c r="E102" s="812">
        <f>ROUND('Print Return'!$L$37*'Overflow (7)'!M48,0)</f>
        <v>0</v>
      </c>
      <c r="F102" s="955"/>
      <c r="G102" s="1524"/>
      <c r="H102" s="1524"/>
      <c r="I102" s="1525">
        <f>IF(Data!D$33=TRUE,'Overflows Worksheet'!K340,'Overflows Worksheet'!T340)</f>
        <v>0</v>
      </c>
      <c r="J102" s="1525"/>
      <c r="K102" s="853">
        <f>LOOKUP(C48,Cities!A$3:A$343,Cities!D$3:D$343)</f>
        <v>0</v>
      </c>
      <c r="L102" s="1522">
        <f t="shared" si="4"/>
        <v>0</v>
      </c>
      <c r="M102" s="1523"/>
      <c r="N102" s="339">
        <f>LOOKUP($C48,Cities!$A$3:$A$356,Cities!$V$3:$V$356)</f>
        <v>0</v>
      </c>
      <c r="O102" s="936" t="str">
        <f t="shared" si="5"/>
        <v/>
      </c>
      <c r="P102" s="785"/>
      <c r="Q102" s="785">
        <f t="shared" si="6"/>
        <v>0</v>
      </c>
      <c r="R102" s="171"/>
    </row>
    <row r="103" spans="1:18" ht="15" x14ac:dyDescent="0.2">
      <c r="A103" s="325">
        <f t="shared" si="7"/>
        <v>308</v>
      </c>
      <c r="B103" s="336" t="str">
        <f>IF(C103=1,"",LOOKUP(C103,Cities!A$3:A$343,Cities!C$3:C$343))</f>
        <v/>
      </c>
      <c r="C103" s="338">
        <f t="shared" si="9"/>
        <v>1</v>
      </c>
      <c r="D103" s="337">
        <f t="shared" si="9"/>
        <v>0</v>
      </c>
      <c r="E103" s="812">
        <f>ROUND('Print Return'!$L$37*'Overflow (7)'!M49,0)</f>
        <v>0</v>
      </c>
      <c r="F103" s="955"/>
      <c r="G103" s="1524"/>
      <c r="H103" s="1524"/>
      <c r="I103" s="1525">
        <f>IF(Data!D$33=TRUE,'Overflows Worksheet'!K341,'Overflows Worksheet'!T341)</f>
        <v>0</v>
      </c>
      <c r="J103" s="1525"/>
      <c r="K103" s="853">
        <f>LOOKUP(C49,Cities!A$3:A$343,Cities!D$3:D$343)</f>
        <v>0</v>
      </c>
      <c r="L103" s="1522">
        <f t="shared" si="4"/>
        <v>0</v>
      </c>
      <c r="M103" s="1523"/>
      <c r="N103" s="339">
        <f>LOOKUP($C49,Cities!$A$3:$A$356,Cities!$V$3:$V$356)</f>
        <v>0</v>
      </c>
      <c r="O103" s="936" t="str">
        <f t="shared" si="5"/>
        <v/>
      </c>
      <c r="P103" s="785"/>
      <c r="Q103" s="785">
        <f t="shared" si="6"/>
        <v>0</v>
      </c>
      <c r="R103" s="171"/>
    </row>
    <row r="104" spans="1:18" ht="15" x14ac:dyDescent="0.2">
      <c r="A104" s="325">
        <f t="shared" si="7"/>
        <v>309</v>
      </c>
      <c r="B104" s="336" t="str">
        <f>IF(C104=1,"",LOOKUP(C104,Cities!A$3:A$343,Cities!C$3:C$343))</f>
        <v/>
      </c>
      <c r="C104" s="338">
        <f t="shared" si="9"/>
        <v>1</v>
      </c>
      <c r="D104" s="337">
        <f t="shared" si="9"/>
        <v>0</v>
      </c>
      <c r="E104" s="812">
        <f>ROUND('Print Return'!$L$37*'Overflow (7)'!M50,0)</f>
        <v>0</v>
      </c>
      <c r="F104" s="955"/>
      <c r="G104" s="1524"/>
      <c r="H104" s="1524"/>
      <c r="I104" s="1525">
        <f>IF(Data!D$33=TRUE,'Overflows Worksheet'!K342,'Overflows Worksheet'!T342)</f>
        <v>0</v>
      </c>
      <c r="J104" s="1525"/>
      <c r="K104" s="853">
        <f>LOOKUP(C50,Cities!A$3:A$343,Cities!D$3:D$343)</f>
        <v>0</v>
      </c>
      <c r="L104" s="1522">
        <f t="shared" si="4"/>
        <v>0</v>
      </c>
      <c r="M104" s="1523"/>
      <c r="N104" s="339">
        <f>LOOKUP($C50,Cities!$A$3:$A$356,Cities!$V$3:$V$356)</f>
        <v>0</v>
      </c>
      <c r="O104" s="936" t="str">
        <f t="shared" si="5"/>
        <v/>
      </c>
      <c r="P104" s="785"/>
      <c r="Q104" s="785">
        <f t="shared" si="6"/>
        <v>0</v>
      </c>
      <c r="R104" s="171"/>
    </row>
    <row r="105" spans="1:18" ht="15" x14ac:dyDescent="0.2">
      <c r="A105" s="325">
        <f t="shared" si="7"/>
        <v>310</v>
      </c>
      <c r="B105" s="336" t="str">
        <f>IF(C105=1,"",LOOKUP(C105,Cities!A$3:A$343,Cities!C$3:C$343))</f>
        <v/>
      </c>
      <c r="C105" s="338">
        <f t="shared" si="9"/>
        <v>1</v>
      </c>
      <c r="D105" s="337">
        <f t="shared" si="9"/>
        <v>0</v>
      </c>
      <c r="E105" s="812">
        <f>ROUND('Print Return'!$L$37*'Overflow (7)'!M51,0)</f>
        <v>0</v>
      </c>
      <c r="F105" s="955"/>
      <c r="G105" s="1524"/>
      <c r="H105" s="1524"/>
      <c r="I105" s="1525">
        <f>IF(Data!D$33=TRUE,'Overflows Worksheet'!K343,'Overflows Worksheet'!T343)</f>
        <v>0</v>
      </c>
      <c r="J105" s="1525"/>
      <c r="K105" s="853">
        <f>LOOKUP(C51,Cities!A$3:A$343,Cities!D$3:D$343)</f>
        <v>0</v>
      </c>
      <c r="L105" s="1522">
        <f t="shared" si="4"/>
        <v>0</v>
      </c>
      <c r="M105" s="1523"/>
      <c r="N105" s="339">
        <f>LOOKUP($C51,Cities!$A$3:$A$356,Cities!$V$3:$V$356)</f>
        <v>0</v>
      </c>
      <c r="O105" s="936" t="str">
        <f t="shared" si="5"/>
        <v/>
      </c>
      <c r="P105" s="785"/>
      <c r="Q105" s="785">
        <f t="shared" si="6"/>
        <v>0</v>
      </c>
      <c r="R105" s="171"/>
    </row>
    <row r="106" spans="1:18" ht="15" x14ac:dyDescent="0.2">
      <c r="A106" s="325">
        <f t="shared" si="7"/>
        <v>311</v>
      </c>
      <c r="B106" s="336" t="str">
        <f>IF(C106=1,"",LOOKUP(C106,Cities!A$3:A$343,Cities!C$3:C$343))</f>
        <v/>
      </c>
      <c r="C106" s="338">
        <f t="shared" si="9"/>
        <v>1</v>
      </c>
      <c r="D106" s="337">
        <f t="shared" si="9"/>
        <v>0</v>
      </c>
      <c r="E106" s="812">
        <f>ROUND('Print Return'!$L$37*'Overflow (7)'!M52,0)</f>
        <v>0</v>
      </c>
      <c r="F106" s="955"/>
      <c r="G106" s="1524"/>
      <c r="H106" s="1524"/>
      <c r="I106" s="1525">
        <f>IF(Data!D$33=TRUE,'Overflows Worksheet'!K344,'Overflows Worksheet'!T344)</f>
        <v>0</v>
      </c>
      <c r="J106" s="1525"/>
      <c r="K106" s="853">
        <f>LOOKUP(C52,Cities!A$3:A$343,Cities!D$3:D$343)</f>
        <v>0</v>
      </c>
      <c r="L106" s="1522">
        <f t="shared" si="4"/>
        <v>0</v>
      </c>
      <c r="M106" s="1523"/>
      <c r="N106" s="339">
        <f>LOOKUP($C52,Cities!$A$3:$A$356,Cities!$V$3:$V$356)</f>
        <v>0</v>
      </c>
      <c r="O106" s="936" t="str">
        <f t="shared" si="5"/>
        <v/>
      </c>
      <c r="P106" s="785"/>
      <c r="Q106" s="785">
        <f t="shared" si="6"/>
        <v>0</v>
      </c>
      <c r="R106" s="171"/>
    </row>
    <row r="107" spans="1:18" ht="15" x14ac:dyDescent="0.2">
      <c r="A107" s="325">
        <f t="shared" si="7"/>
        <v>312</v>
      </c>
      <c r="B107" s="336" t="str">
        <f>IF(C107=1,"",LOOKUP(C107,Cities!A$3:A$343,Cities!C$3:C$343))</f>
        <v/>
      </c>
      <c r="C107" s="338">
        <f t="shared" si="9"/>
        <v>1</v>
      </c>
      <c r="D107" s="337">
        <f t="shared" si="9"/>
        <v>0</v>
      </c>
      <c r="E107" s="812">
        <f>ROUND('Print Return'!$L$37*'Overflow (7)'!M53,0)</f>
        <v>0</v>
      </c>
      <c r="F107" s="955"/>
      <c r="G107" s="1524"/>
      <c r="H107" s="1524"/>
      <c r="I107" s="1525">
        <f>IF(Data!D$33=TRUE,'Overflows Worksheet'!K345,'Overflows Worksheet'!T345)</f>
        <v>0</v>
      </c>
      <c r="J107" s="1525"/>
      <c r="K107" s="853">
        <f>LOOKUP(C53,Cities!A$3:A$343,Cities!D$3:D$343)</f>
        <v>0</v>
      </c>
      <c r="L107" s="1522">
        <f t="shared" si="4"/>
        <v>0</v>
      </c>
      <c r="M107" s="1523"/>
      <c r="N107" s="339">
        <f>LOOKUP($C53,Cities!$A$3:$A$356,Cities!$V$3:$V$356)</f>
        <v>0</v>
      </c>
      <c r="O107" s="936" t="str">
        <f t="shared" si="5"/>
        <v/>
      </c>
      <c r="P107" s="785"/>
      <c r="Q107" s="785">
        <f t="shared" si="6"/>
        <v>0</v>
      </c>
      <c r="R107" s="171"/>
    </row>
    <row r="108" spans="1:18" ht="15" x14ac:dyDescent="0.2">
      <c r="A108" s="325">
        <f t="shared" si="7"/>
        <v>313</v>
      </c>
      <c r="B108" s="336" t="str">
        <f>IF(C108=1,"",LOOKUP(C108,Cities!A$3:A$343,Cities!C$3:C$343))</f>
        <v/>
      </c>
      <c r="C108" s="338">
        <f t="shared" si="9"/>
        <v>1</v>
      </c>
      <c r="D108" s="337">
        <f t="shared" si="9"/>
        <v>0</v>
      </c>
      <c r="E108" s="812">
        <f>ROUND('Print Return'!$L$37*'Overflow (7)'!M54,0)</f>
        <v>0</v>
      </c>
      <c r="F108" s="955"/>
      <c r="G108" s="1524"/>
      <c r="H108" s="1524"/>
      <c r="I108" s="1525">
        <f>IF(Data!D$33=TRUE,'Overflows Worksheet'!K346,'Overflows Worksheet'!T346)</f>
        <v>0</v>
      </c>
      <c r="J108" s="1525"/>
      <c r="K108" s="853">
        <f>LOOKUP(C54,Cities!A$3:A$343,Cities!D$3:D$343)</f>
        <v>0</v>
      </c>
      <c r="L108" s="1522">
        <f t="shared" si="4"/>
        <v>0</v>
      </c>
      <c r="M108" s="1523"/>
      <c r="N108" s="339">
        <f>LOOKUP($C54,Cities!$A$3:$A$356,Cities!$V$3:$V$356)</f>
        <v>0</v>
      </c>
      <c r="O108" s="936" t="str">
        <f t="shared" si="5"/>
        <v/>
      </c>
      <c r="P108" s="785"/>
      <c r="Q108" s="785">
        <f t="shared" si="6"/>
        <v>0</v>
      </c>
      <c r="R108" s="171"/>
    </row>
    <row r="109" spans="1:18" ht="15" x14ac:dyDescent="0.2">
      <c r="A109" s="325">
        <f t="shared" si="7"/>
        <v>314</v>
      </c>
      <c r="B109" s="336" t="str">
        <f>IF(C109=1,"",LOOKUP(C109,Cities!A$3:A$343,Cities!C$3:C$343))</f>
        <v/>
      </c>
      <c r="C109" s="338">
        <f t="shared" si="9"/>
        <v>1</v>
      </c>
      <c r="D109" s="337">
        <f t="shared" si="9"/>
        <v>0</v>
      </c>
      <c r="E109" s="812">
        <f>ROUND('Print Return'!$L$37*'Overflow (7)'!M55,0)</f>
        <v>0</v>
      </c>
      <c r="F109" s="955"/>
      <c r="G109" s="1524"/>
      <c r="H109" s="1524"/>
      <c r="I109" s="1525">
        <f>IF(Data!D$33=TRUE,'Overflows Worksheet'!K347,'Overflows Worksheet'!T347)</f>
        <v>0</v>
      </c>
      <c r="J109" s="1525"/>
      <c r="K109" s="853">
        <f>LOOKUP(C55,Cities!A$3:A$343,Cities!D$3:D$343)</f>
        <v>0</v>
      </c>
      <c r="L109" s="1522">
        <f t="shared" si="4"/>
        <v>0</v>
      </c>
      <c r="M109" s="1523"/>
      <c r="N109" s="339">
        <f>LOOKUP($C55,Cities!$A$3:$A$356,Cities!$V$3:$V$356)</f>
        <v>0</v>
      </c>
      <c r="O109" s="936" t="str">
        <f t="shared" si="5"/>
        <v/>
      </c>
      <c r="P109" s="785"/>
      <c r="Q109" s="785">
        <f t="shared" si="6"/>
        <v>0</v>
      </c>
      <c r="R109" s="171"/>
    </row>
    <row r="110" spans="1:18" ht="15.75" thickBot="1" x14ac:dyDescent="0.25">
      <c r="A110" s="325">
        <f t="shared" si="7"/>
        <v>315</v>
      </c>
      <c r="B110" s="336" t="str">
        <f>IF(C110=1,"",LOOKUP(C110,Cities!A$3:A$343,Cities!C$3:C$343))</f>
        <v/>
      </c>
      <c r="C110" s="338">
        <f t="shared" si="9"/>
        <v>1</v>
      </c>
      <c r="D110" s="337">
        <f t="shared" si="9"/>
        <v>0</v>
      </c>
      <c r="E110" s="814">
        <f>ROUND('Print Return'!$L$37*'Overflow (7)'!M56,0)</f>
        <v>0</v>
      </c>
      <c r="F110" s="956"/>
      <c r="G110" s="1564"/>
      <c r="H110" s="1564"/>
      <c r="I110" s="1525">
        <f>IF(Data!D$33=TRUE,'Overflows Worksheet'!K348,'Overflows Worksheet'!T348)</f>
        <v>0</v>
      </c>
      <c r="J110" s="1525"/>
      <c r="K110" s="854">
        <f>LOOKUP(C56,Cities!A$3:A$343,Cities!D$3:D$343)</f>
        <v>0</v>
      </c>
      <c r="L110" s="1562">
        <f t="shared" si="4"/>
        <v>0</v>
      </c>
      <c r="M110" s="1563"/>
      <c r="N110" s="339">
        <f>LOOKUP($C56,Cities!$A$3:$A$356,Cities!$V$3:$V$356)</f>
        <v>0</v>
      </c>
      <c r="O110" s="936" t="str">
        <f t="shared" si="5"/>
        <v/>
      </c>
      <c r="P110" s="785"/>
      <c r="Q110" s="785">
        <f t="shared" si="6"/>
        <v>0</v>
      </c>
      <c r="R110" s="171"/>
    </row>
    <row r="111" spans="1:18" ht="15" x14ac:dyDescent="0.2">
      <c r="B111" s="6" t="s">
        <v>1791</v>
      </c>
      <c r="C111" s="6"/>
      <c r="D111" s="6"/>
      <c r="E111" s="813">
        <f>SUM(E66:E110)</f>
        <v>0</v>
      </c>
      <c r="F111" s="958">
        <f>SUM(F66:F110)</f>
        <v>0</v>
      </c>
      <c r="G111" s="1561">
        <f>SUM(G66:G110)</f>
        <v>0</v>
      </c>
      <c r="H111" s="1561"/>
      <c r="I111" s="1566">
        <f>SUM(I66:I110)</f>
        <v>0</v>
      </c>
      <c r="J111" s="1566"/>
      <c r="K111" s="855"/>
      <c r="L111" s="1561">
        <f>SUM(L66:L110)</f>
        <v>0</v>
      </c>
      <c r="M111" s="1561"/>
      <c r="O111" s="786"/>
      <c r="P111" s="171"/>
      <c r="Q111" s="785">
        <f>SUM(Q66:Q110)</f>
        <v>0</v>
      </c>
      <c r="R111" s="171"/>
    </row>
    <row r="112" spans="1:18" s="6" customFormat="1" ht="15" x14ac:dyDescent="0.2">
      <c r="O112" s="850"/>
      <c r="P112" s="602"/>
      <c r="Q112" s="602"/>
      <c r="R112" s="602"/>
    </row>
  </sheetData>
  <sheetProtection algorithmName="SHA-512" hashValue="zhr9FFzws+15amS7lhHyVRKRwsLyuMhrvZl0rzm4ske7fCPjNjSPnf7XRUpBtrXdlY3PPrzd2pcwEay/bn7Bjw==" saltValue="zHfxNuki1ZDyHvq9IAdSjg==" spinCount="100000" sheet="1" objects="1" scenarios="1"/>
  <mergeCells count="171">
    <mergeCell ref="G110:H110"/>
    <mergeCell ref="I110:J110"/>
    <mergeCell ref="L110:M110"/>
    <mergeCell ref="G111:H111"/>
    <mergeCell ref="I111:J111"/>
    <mergeCell ref="L111:M111"/>
    <mergeCell ref="G108:H108"/>
    <mergeCell ref="I108:J108"/>
    <mergeCell ref="L108:M108"/>
    <mergeCell ref="G109:H109"/>
    <mergeCell ref="I109:J109"/>
    <mergeCell ref="L109:M109"/>
    <mergeCell ref="G106:H106"/>
    <mergeCell ref="I106:J106"/>
    <mergeCell ref="L106:M106"/>
    <mergeCell ref="G107:H107"/>
    <mergeCell ref="I107:J107"/>
    <mergeCell ref="L107:M107"/>
    <mergeCell ref="G104:H104"/>
    <mergeCell ref="I104:J104"/>
    <mergeCell ref="L104:M104"/>
    <mergeCell ref="G105:H105"/>
    <mergeCell ref="I105:J105"/>
    <mergeCell ref="L105:M105"/>
    <mergeCell ref="G102:H102"/>
    <mergeCell ref="I102:J102"/>
    <mergeCell ref="L102:M102"/>
    <mergeCell ref="G103:H103"/>
    <mergeCell ref="I103:J103"/>
    <mergeCell ref="L103:M103"/>
    <mergeCell ref="G100:H100"/>
    <mergeCell ref="I100:J100"/>
    <mergeCell ref="L100:M100"/>
    <mergeCell ref="G101:H101"/>
    <mergeCell ref="I101:J101"/>
    <mergeCell ref="L101:M101"/>
    <mergeCell ref="G98:H98"/>
    <mergeCell ref="I98:J98"/>
    <mergeCell ref="L98:M98"/>
    <mergeCell ref="G99:H99"/>
    <mergeCell ref="I99:J99"/>
    <mergeCell ref="L99:M99"/>
    <mergeCell ref="G96:H96"/>
    <mergeCell ref="I96:J96"/>
    <mergeCell ref="L96:M96"/>
    <mergeCell ref="G97:H97"/>
    <mergeCell ref="I97:J97"/>
    <mergeCell ref="L97:M97"/>
    <mergeCell ref="G94:H94"/>
    <mergeCell ref="I94:J94"/>
    <mergeCell ref="L94:M94"/>
    <mergeCell ref="G95:H95"/>
    <mergeCell ref="I95:J95"/>
    <mergeCell ref="L95:M95"/>
    <mergeCell ref="G92:H92"/>
    <mergeCell ref="I92:J92"/>
    <mergeCell ref="L92:M92"/>
    <mergeCell ref="G93:H93"/>
    <mergeCell ref="I93:J93"/>
    <mergeCell ref="L93:M93"/>
    <mergeCell ref="G90:H90"/>
    <mergeCell ref="I90:J90"/>
    <mergeCell ref="L90:M90"/>
    <mergeCell ref="G91:H91"/>
    <mergeCell ref="I91:J91"/>
    <mergeCell ref="L91:M91"/>
    <mergeCell ref="G88:H88"/>
    <mergeCell ref="I88:J88"/>
    <mergeCell ref="L88:M88"/>
    <mergeCell ref="G89:H89"/>
    <mergeCell ref="I89:J89"/>
    <mergeCell ref="L89:M89"/>
    <mergeCell ref="G86:H86"/>
    <mergeCell ref="I86:J86"/>
    <mergeCell ref="L86:M86"/>
    <mergeCell ref="G87:H87"/>
    <mergeCell ref="I87:J87"/>
    <mergeCell ref="L87:M87"/>
    <mergeCell ref="G84:H84"/>
    <mergeCell ref="I84:J84"/>
    <mergeCell ref="L84:M84"/>
    <mergeCell ref="G85:H85"/>
    <mergeCell ref="I85:J85"/>
    <mergeCell ref="L85:M85"/>
    <mergeCell ref="G82:H82"/>
    <mergeCell ref="I82:J82"/>
    <mergeCell ref="L82:M82"/>
    <mergeCell ref="G83:H83"/>
    <mergeCell ref="I83:J83"/>
    <mergeCell ref="L83:M83"/>
    <mergeCell ref="G80:H80"/>
    <mergeCell ref="I80:J80"/>
    <mergeCell ref="L80:M80"/>
    <mergeCell ref="G81:H81"/>
    <mergeCell ref="I81:J81"/>
    <mergeCell ref="L81:M81"/>
    <mergeCell ref="G78:H78"/>
    <mergeCell ref="I78:J78"/>
    <mergeCell ref="L78:M78"/>
    <mergeCell ref="G79:H79"/>
    <mergeCell ref="I79:J79"/>
    <mergeCell ref="L79:M79"/>
    <mergeCell ref="G76:H76"/>
    <mergeCell ref="I76:J76"/>
    <mergeCell ref="L76:M76"/>
    <mergeCell ref="G77:H77"/>
    <mergeCell ref="I77:J77"/>
    <mergeCell ref="L77:M77"/>
    <mergeCell ref="G74:H74"/>
    <mergeCell ref="I74:J74"/>
    <mergeCell ref="L74:M74"/>
    <mergeCell ref="G75:H75"/>
    <mergeCell ref="I75:J75"/>
    <mergeCell ref="L75:M75"/>
    <mergeCell ref="G72:H72"/>
    <mergeCell ref="I72:J72"/>
    <mergeCell ref="L72:M72"/>
    <mergeCell ref="G73:H73"/>
    <mergeCell ref="I73:J73"/>
    <mergeCell ref="L73:M73"/>
    <mergeCell ref="G70:H70"/>
    <mergeCell ref="I70:J70"/>
    <mergeCell ref="L70:M70"/>
    <mergeCell ref="G71:H71"/>
    <mergeCell ref="I71:J71"/>
    <mergeCell ref="L71:M71"/>
    <mergeCell ref="G68:H68"/>
    <mergeCell ref="I68:J68"/>
    <mergeCell ref="L68:M68"/>
    <mergeCell ref="G69:H69"/>
    <mergeCell ref="I69:J69"/>
    <mergeCell ref="L69:M69"/>
    <mergeCell ref="O64:O65"/>
    <mergeCell ref="L65:M65"/>
    <mergeCell ref="G66:H66"/>
    <mergeCell ref="I66:J66"/>
    <mergeCell ref="L66:M66"/>
    <mergeCell ref="G67:H67"/>
    <mergeCell ref="I67:J67"/>
    <mergeCell ref="L67:M67"/>
    <mergeCell ref="B62:J62"/>
    <mergeCell ref="K62:M62"/>
    <mergeCell ref="D64:D65"/>
    <mergeCell ref="E64:E65"/>
    <mergeCell ref="F64:F65"/>
    <mergeCell ref="G64:H65"/>
    <mergeCell ref="I64:J65"/>
    <mergeCell ref="L64:M64"/>
    <mergeCell ref="D10:D11"/>
    <mergeCell ref="E10:H10"/>
    <mergeCell ref="I10:J10"/>
    <mergeCell ref="K10:L10"/>
    <mergeCell ref="K58:K59"/>
    <mergeCell ref="A59:B59"/>
    <mergeCell ref="D59:J60"/>
    <mergeCell ref="L59:M59"/>
    <mergeCell ref="A60:B60"/>
    <mergeCell ref="L60:M60"/>
    <mergeCell ref="B6:B8"/>
    <mergeCell ref="E6:F6"/>
    <mergeCell ref="I6:J6"/>
    <mergeCell ref="E7:F7"/>
    <mergeCell ref="E8:F8"/>
    <mergeCell ref="I8:J8"/>
    <mergeCell ref="A1:B1"/>
    <mergeCell ref="D1:K2"/>
    <mergeCell ref="L1:M1"/>
    <mergeCell ref="A2:B2"/>
    <mergeCell ref="L2:M2"/>
    <mergeCell ref="B4:J4"/>
    <mergeCell ref="K4:M4"/>
  </mergeCells>
  <conditionalFormatting sqref="G66:H110">
    <cfRule type="expression" dxfId="13" priority="3" stopIfTrue="1">
      <formula>$N66=0</formula>
    </cfRule>
  </conditionalFormatting>
  <conditionalFormatting sqref="E66:E110 I66:L110">
    <cfRule type="expression" dxfId="12" priority="4" stopIfTrue="1">
      <formula>$D66=0</formula>
    </cfRule>
  </conditionalFormatting>
  <conditionalFormatting sqref="N66:N110">
    <cfRule type="expression" dxfId="11" priority="5" stopIfTrue="1">
      <formula>"LOOKUP(C12,Cities!$A$3:$A$169,Cities!$L$3:$L$169)=0"</formula>
    </cfRule>
  </conditionalFormatting>
  <pageMargins left="0.5" right="0.5" top="0.5" bottom="0.5" header="0.5" footer="0.5"/>
  <pageSetup scale="75" orientation="portrait" r:id="rId1"/>
  <headerFooter alignWithMargins="0"/>
  <rowBreaks count="1" manualBreakCount="1">
    <brk id="5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4337" r:id="rId4" name="Drop Down 1">
              <controlPr defaultSize="0" autoLine="0" autoPict="0">
                <anchor moveWithCells="1">
                  <from>
                    <xdr:col>1</xdr:col>
                    <xdr:colOff>9525</xdr:colOff>
                    <xdr:row>11</xdr:row>
                    <xdr:rowOff>9525</xdr:rowOff>
                  </from>
                  <to>
                    <xdr:col>1</xdr:col>
                    <xdr:colOff>1924050</xdr:colOff>
                    <xdr:row>11</xdr:row>
                    <xdr:rowOff>209550</xdr:rowOff>
                  </to>
                </anchor>
              </controlPr>
            </control>
          </mc:Choice>
        </mc:AlternateContent>
        <mc:AlternateContent xmlns:mc="http://schemas.openxmlformats.org/markup-compatibility/2006">
          <mc:Choice Requires="x14">
            <control shapeId="14338" r:id="rId5" name="Drop Down 2">
              <controlPr defaultSize="0" autoLine="0" autoPict="0">
                <anchor moveWithCells="1">
                  <from>
                    <xdr:col>1</xdr:col>
                    <xdr:colOff>9525</xdr:colOff>
                    <xdr:row>12</xdr:row>
                    <xdr:rowOff>9525</xdr:rowOff>
                  </from>
                  <to>
                    <xdr:col>1</xdr:col>
                    <xdr:colOff>1924050</xdr:colOff>
                    <xdr:row>12</xdr:row>
                    <xdr:rowOff>209550</xdr:rowOff>
                  </to>
                </anchor>
              </controlPr>
            </control>
          </mc:Choice>
        </mc:AlternateContent>
        <mc:AlternateContent xmlns:mc="http://schemas.openxmlformats.org/markup-compatibility/2006">
          <mc:Choice Requires="x14">
            <control shapeId="14339" r:id="rId6" name="Drop Down 3">
              <controlPr defaultSize="0" autoLine="0" autoPict="0">
                <anchor moveWithCells="1">
                  <from>
                    <xdr:col>1</xdr:col>
                    <xdr:colOff>9525</xdr:colOff>
                    <xdr:row>13</xdr:row>
                    <xdr:rowOff>19050</xdr:rowOff>
                  </from>
                  <to>
                    <xdr:col>1</xdr:col>
                    <xdr:colOff>1924050</xdr:colOff>
                    <xdr:row>13</xdr:row>
                    <xdr:rowOff>219075</xdr:rowOff>
                  </to>
                </anchor>
              </controlPr>
            </control>
          </mc:Choice>
        </mc:AlternateContent>
        <mc:AlternateContent xmlns:mc="http://schemas.openxmlformats.org/markup-compatibility/2006">
          <mc:Choice Requires="x14">
            <control shapeId="14340" r:id="rId7" name="Drop Down 4">
              <controlPr defaultSize="0" autoLine="0" autoPict="0">
                <anchor moveWithCells="1">
                  <from>
                    <xdr:col>1</xdr:col>
                    <xdr:colOff>9525</xdr:colOff>
                    <xdr:row>14</xdr:row>
                    <xdr:rowOff>19050</xdr:rowOff>
                  </from>
                  <to>
                    <xdr:col>1</xdr:col>
                    <xdr:colOff>1924050</xdr:colOff>
                    <xdr:row>14</xdr:row>
                    <xdr:rowOff>219075</xdr:rowOff>
                  </to>
                </anchor>
              </controlPr>
            </control>
          </mc:Choice>
        </mc:AlternateContent>
        <mc:AlternateContent xmlns:mc="http://schemas.openxmlformats.org/markup-compatibility/2006">
          <mc:Choice Requires="x14">
            <control shapeId="14341" r:id="rId8" name="Drop Down 5">
              <controlPr defaultSize="0" autoLine="0" autoPict="0">
                <anchor moveWithCells="1">
                  <from>
                    <xdr:col>1</xdr:col>
                    <xdr:colOff>9525</xdr:colOff>
                    <xdr:row>15</xdr:row>
                    <xdr:rowOff>19050</xdr:rowOff>
                  </from>
                  <to>
                    <xdr:col>1</xdr:col>
                    <xdr:colOff>1924050</xdr:colOff>
                    <xdr:row>15</xdr:row>
                    <xdr:rowOff>219075</xdr:rowOff>
                  </to>
                </anchor>
              </controlPr>
            </control>
          </mc:Choice>
        </mc:AlternateContent>
        <mc:AlternateContent xmlns:mc="http://schemas.openxmlformats.org/markup-compatibility/2006">
          <mc:Choice Requires="x14">
            <control shapeId="14342" r:id="rId9" name="Drop Down 6">
              <controlPr defaultSize="0" autoLine="0" autoPict="0">
                <anchor moveWithCells="1">
                  <from>
                    <xdr:col>1</xdr:col>
                    <xdr:colOff>9525</xdr:colOff>
                    <xdr:row>16</xdr:row>
                    <xdr:rowOff>19050</xdr:rowOff>
                  </from>
                  <to>
                    <xdr:col>1</xdr:col>
                    <xdr:colOff>1924050</xdr:colOff>
                    <xdr:row>16</xdr:row>
                    <xdr:rowOff>219075</xdr:rowOff>
                  </to>
                </anchor>
              </controlPr>
            </control>
          </mc:Choice>
        </mc:AlternateContent>
        <mc:AlternateContent xmlns:mc="http://schemas.openxmlformats.org/markup-compatibility/2006">
          <mc:Choice Requires="x14">
            <control shapeId="14343" r:id="rId10" name="Drop Down 7">
              <controlPr defaultSize="0" autoLine="0" autoPict="0">
                <anchor moveWithCells="1">
                  <from>
                    <xdr:col>1</xdr:col>
                    <xdr:colOff>9525</xdr:colOff>
                    <xdr:row>17</xdr:row>
                    <xdr:rowOff>19050</xdr:rowOff>
                  </from>
                  <to>
                    <xdr:col>1</xdr:col>
                    <xdr:colOff>1924050</xdr:colOff>
                    <xdr:row>17</xdr:row>
                    <xdr:rowOff>219075</xdr:rowOff>
                  </to>
                </anchor>
              </controlPr>
            </control>
          </mc:Choice>
        </mc:AlternateContent>
        <mc:AlternateContent xmlns:mc="http://schemas.openxmlformats.org/markup-compatibility/2006">
          <mc:Choice Requires="x14">
            <control shapeId="14344" r:id="rId11" name="Drop Down 8">
              <controlPr defaultSize="0" autoLine="0" autoPict="0">
                <anchor moveWithCells="1">
                  <from>
                    <xdr:col>1</xdr:col>
                    <xdr:colOff>9525</xdr:colOff>
                    <xdr:row>18</xdr:row>
                    <xdr:rowOff>19050</xdr:rowOff>
                  </from>
                  <to>
                    <xdr:col>1</xdr:col>
                    <xdr:colOff>1924050</xdr:colOff>
                    <xdr:row>18</xdr:row>
                    <xdr:rowOff>219075</xdr:rowOff>
                  </to>
                </anchor>
              </controlPr>
            </control>
          </mc:Choice>
        </mc:AlternateContent>
        <mc:AlternateContent xmlns:mc="http://schemas.openxmlformats.org/markup-compatibility/2006">
          <mc:Choice Requires="x14">
            <control shapeId="14345" r:id="rId12" name="Drop Down 9">
              <controlPr defaultSize="0" autoLine="0" autoPict="0">
                <anchor moveWithCells="1">
                  <from>
                    <xdr:col>1</xdr:col>
                    <xdr:colOff>9525</xdr:colOff>
                    <xdr:row>19</xdr:row>
                    <xdr:rowOff>28575</xdr:rowOff>
                  </from>
                  <to>
                    <xdr:col>1</xdr:col>
                    <xdr:colOff>1924050</xdr:colOff>
                    <xdr:row>20</xdr:row>
                    <xdr:rowOff>0</xdr:rowOff>
                  </to>
                </anchor>
              </controlPr>
            </control>
          </mc:Choice>
        </mc:AlternateContent>
        <mc:AlternateContent xmlns:mc="http://schemas.openxmlformats.org/markup-compatibility/2006">
          <mc:Choice Requires="x14">
            <control shapeId="14346" r:id="rId13" name="Drop Down 10">
              <controlPr defaultSize="0" autoLine="0" autoPict="0">
                <anchor moveWithCells="1">
                  <from>
                    <xdr:col>1</xdr:col>
                    <xdr:colOff>9525</xdr:colOff>
                    <xdr:row>20</xdr:row>
                    <xdr:rowOff>19050</xdr:rowOff>
                  </from>
                  <to>
                    <xdr:col>1</xdr:col>
                    <xdr:colOff>1924050</xdr:colOff>
                    <xdr:row>20</xdr:row>
                    <xdr:rowOff>219075</xdr:rowOff>
                  </to>
                </anchor>
              </controlPr>
            </control>
          </mc:Choice>
        </mc:AlternateContent>
        <mc:AlternateContent xmlns:mc="http://schemas.openxmlformats.org/markup-compatibility/2006">
          <mc:Choice Requires="x14">
            <control shapeId="14347" r:id="rId14" name="Drop Down 11">
              <controlPr defaultSize="0" autoLine="0" autoPict="0">
                <anchor moveWithCells="1">
                  <from>
                    <xdr:col>1</xdr:col>
                    <xdr:colOff>9525</xdr:colOff>
                    <xdr:row>21</xdr:row>
                    <xdr:rowOff>28575</xdr:rowOff>
                  </from>
                  <to>
                    <xdr:col>1</xdr:col>
                    <xdr:colOff>1924050</xdr:colOff>
                    <xdr:row>22</xdr:row>
                    <xdr:rowOff>0</xdr:rowOff>
                  </to>
                </anchor>
              </controlPr>
            </control>
          </mc:Choice>
        </mc:AlternateContent>
        <mc:AlternateContent xmlns:mc="http://schemas.openxmlformats.org/markup-compatibility/2006">
          <mc:Choice Requires="x14">
            <control shapeId="14348" r:id="rId15" name="Drop Down 12">
              <controlPr defaultSize="0" autoLine="0" autoPict="0">
                <anchor moveWithCells="1">
                  <from>
                    <xdr:col>1</xdr:col>
                    <xdr:colOff>9525</xdr:colOff>
                    <xdr:row>22</xdr:row>
                    <xdr:rowOff>28575</xdr:rowOff>
                  </from>
                  <to>
                    <xdr:col>1</xdr:col>
                    <xdr:colOff>1924050</xdr:colOff>
                    <xdr:row>23</xdr:row>
                    <xdr:rowOff>0</xdr:rowOff>
                  </to>
                </anchor>
              </controlPr>
            </control>
          </mc:Choice>
        </mc:AlternateContent>
        <mc:AlternateContent xmlns:mc="http://schemas.openxmlformats.org/markup-compatibility/2006">
          <mc:Choice Requires="x14">
            <control shapeId="14349" r:id="rId16" name="Drop Down 13">
              <controlPr defaultSize="0" autoLine="0" autoPict="0">
                <anchor moveWithCells="1">
                  <from>
                    <xdr:col>1</xdr:col>
                    <xdr:colOff>9525</xdr:colOff>
                    <xdr:row>23</xdr:row>
                    <xdr:rowOff>19050</xdr:rowOff>
                  </from>
                  <to>
                    <xdr:col>1</xdr:col>
                    <xdr:colOff>1924050</xdr:colOff>
                    <xdr:row>23</xdr:row>
                    <xdr:rowOff>219075</xdr:rowOff>
                  </to>
                </anchor>
              </controlPr>
            </control>
          </mc:Choice>
        </mc:AlternateContent>
        <mc:AlternateContent xmlns:mc="http://schemas.openxmlformats.org/markup-compatibility/2006">
          <mc:Choice Requires="x14">
            <control shapeId="14350" r:id="rId17" name="Drop Down 14">
              <controlPr defaultSize="0" autoLine="0" autoPict="0">
                <anchor moveWithCells="1">
                  <from>
                    <xdr:col>1</xdr:col>
                    <xdr:colOff>9525</xdr:colOff>
                    <xdr:row>24</xdr:row>
                    <xdr:rowOff>28575</xdr:rowOff>
                  </from>
                  <to>
                    <xdr:col>1</xdr:col>
                    <xdr:colOff>1924050</xdr:colOff>
                    <xdr:row>25</xdr:row>
                    <xdr:rowOff>0</xdr:rowOff>
                  </to>
                </anchor>
              </controlPr>
            </control>
          </mc:Choice>
        </mc:AlternateContent>
        <mc:AlternateContent xmlns:mc="http://schemas.openxmlformats.org/markup-compatibility/2006">
          <mc:Choice Requires="x14">
            <control shapeId="14351" r:id="rId18" name="Drop Down 15">
              <controlPr defaultSize="0" autoLine="0" autoPict="0">
                <anchor moveWithCells="1">
                  <from>
                    <xdr:col>1</xdr:col>
                    <xdr:colOff>9525</xdr:colOff>
                    <xdr:row>25</xdr:row>
                    <xdr:rowOff>19050</xdr:rowOff>
                  </from>
                  <to>
                    <xdr:col>1</xdr:col>
                    <xdr:colOff>1924050</xdr:colOff>
                    <xdr:row>25</xdr:row>
                    <xdr:rowOff>219075</xdr:rowOff>
                  </to>
                </anchor>
              </controlPr>
            </control>
          </mc:Choice>
        </mc:AlternateContent>
        <mc:AlternateContent xmlns:mc="http://schemas.openxmlformats.org/markup-compatibility/2006">
          <mc:Choice Requires="x14">
            <control shapeId="14352" r:id="rId19" name="Drop Down 16">
              <controlPr defaultSize="0" autoLine="0" autoPict="0">
                <anchor moveWithCells="1">
                  <from>
                    <xdr:col>1</xdr:col>
                    <xdr:colOff>9525</xdr:colOff>
                    <xdr:row>26</xdr:row>
                    <xdr:rowOff>19050</xdr:rowOff>
                  </from>
                  <to>
                    <xdr:col>1</xdr:col>
                    <xdr:colOff>1924050</xdr:colOff>
                    <xdr:row>26</xdr:row>
                    <xdr:rowOff>219075</xdr:rowOff>
                  </to>
                </anchor>
              </controlPr>
            </control>
          </mc:Choice>
        </mc:AlternateContent>
        <mc:AlternateContent xmlns:mc="http://schemas.openxmlformats.org/markup-compatibility/2006">
          <mc:Choice Requires="x14">
            <control shapeId="14353" r:id="rId20" name="Drop Down 17">
              <controlPr defaultSize="0" autoLine="0" autoPict="0">
                <anchor moveWithCells="1">
                  <from>
                    <xdr:col>1</xdr:col>
                    <xdr:colOff>9525</xdr:colOff>
                    <xdr:row>27</xdr:row>
                    <xdr:rowOff>19050</xdr:rowOff>
                  </from>
                  <to>
                    <xdr:col>1</xdr:col>
                    <xdr:colOff>1924050</xdr:colOff>
                    <xdr:row>27</xdr:row>
                    <xdr:rowOff>219075</xdr:rowOff>
                  </to>
                </anchor>
              </controlPr>
            </control>
          </mc:Choice>
        </mc:AlternateContent>
        <mc:AlternateContent xmlns:mc="http://schemas.openxmlformats.org/markup-compatibility/2006">
          <mc:Choice Requires="x14">
            <control shapeId="14354" r:id="rId21" name="Drop Down 18">
              <controlPr defaultSize="0" autoLine="0" autoPict="0">
                <anchor moveWithCells="1">
                  <from>
                    <xdr:col>1</xdr:col>
                    <xdr:colOff>9525</xdr:colOff>
                    <xdr:row>28</xdr:row>
                    <xdr:rowOff>19050</xdr:rowOff>
                  </from>
                  <to>
                    <xdr:col>1</xdr:col>
                    <xdr:colOff>1924050</xdr:colOff>
                    <xdr:row>28</xdr:row>
                    <xdr:rowOff>219075</xdr:rowOff>
                  </to>
                </anchor>
              </controlPr>
            </control>
          </mc:Choice>
        </mc:AlternateContent>
        <mc:AlternateContent xmlns:mc="http://schemas.openxmlformats.org/markup-compatibility/2006">
          <mc:Choice Requires="x14">
            <control shapeId="14355" r:id="rId22" name="Drop Down 19">
              <controlPr defaultSize="0" autoLine="0" autoPict="0">
                <anchor moveWithCells="1">
                  <from>
                    <xdr:col>1</xdr:col>
                    <xdr:colOff>9525</xdr:colOff>
                    <xdr:row>29</xdr:row>
                    <xdr:rowOff>19050</xdr:rowOff>
                  </from>
                  <to>
                    <xdr:col>1</xdr:col>
                    <xdr:colOff>1924050</xdr:colOff>
                    <xdr:row>29</xdr:row>
                    <xdr:rowOff>219075</xdr:rowOff>
                  </to>
                </anchor>
              </controlPr>
            </control>
          </mc:Choice>
        </mc:AlternateContent>
        <mc:AlternateContent xmlns:mc="http://schemas.openxmlformats.org/markup-compatibility/2006">
          <mc:Choice Requires="x14">
            <control shapeId="14356" r:id="rId23" name="Drop Down 20">
              <controlPr defaultSize="0" autoLine="0" autoPict="0">
                <anchor moveWithCells="1">
                  <from>
                    <xdr:col>1</xdr:col>
                    <xdr:colOff>9525</xdr:colOff>
                    <xdr:row>30</xdr:row>
                    <xdr:rowOff>19050</xdr:rowOff>
                  </from>
                  <to>
                    <xdr:col>1</xdr:col>
                    <xdr:colOff>1924050</xdr:colOff>
                    <xdr:row>30</xdr:row>
                    <xdr:rowOff>219075</xdr:rowOff>
                  </to>
                </anchor>
              </controlPr>
            </control>
          </mc:Choice>
        </mc:AlternateContent>
        <mc:AlternateContent xmlns:mc="http://schemas.openxmlformats.org/markup-compatibility/2006">
          <mc:Choice Requires="x14">
            <control shapeId="14357" r:id="rId24" name="Drop Down 21">
              <controlPr defaultSize="0" autoLine="0" autoPict="0">
                <anchor moveWithCells="1">
                  <from>
                    <xdr:col>1</xdr:col>
                    <xdr:colOff>9525</xdr:colOff>
                    <xdr:row>31</xdr:row>
                    <xdr:rowOff>19050</xdr:rowOff>
                  </from>
                  <to>
                    <xdr:col>1</xdr:col>
                    <xdr:colOff>1924050</xdr:colOff>
                    <xdr:row>31</xdr:row>
                    <xdr:rowOff>219075</xdr:rowOff>
                  </to>
                </anchor>
              </controlPr>
            </control>
          </mc:Choice>
        </mc:AlternateContent>
        <mc:AlternateContent xmlns:mc="http://schemas.openxmlformats.org/markup-compatibility/2006">
          <mc:Choice Requires="x14">
            <control shapeId="14358" r:id="rId25" name="Drop Down 22">
              <controlPr defaultSize="0" autoLine="0" autoPict="0">
                <anchor moveWithCells="1">
                  <from>
                    <xdr:col>1</xdr:col>
                    <xdr:colOff>9525</xdr:colOff>
                    <xdr:row>32</xdr:row>
                    <xdr:rowOff>19050</xdr:rowOff>
                  </from>
                  <to>
                    <xdr:col>1</xdr:col>
                    <xdr:colOff>1924050</xdr:colOff>
                    <xdr:row>32</xdr:row>
                    <xdr:rowOff>219075</xdr:rowOff>
                  </to>
                </anchor>
              </controlPr>
            </control>
          </mc:Choice>
        </mc:AlternateContent>
        <mc:AlternateContent xmlns:mc="http://schemas.openxmlformats.org/markup-compatibility/2006">
          <mc:Choice Requires="x14">
            <control shapeId="14359" r:id="rId26" name="Drop Down 23">
              <controlPr defaultSize="0" autoLine="0" autoPict="0">
                <anchor moveWithCells="1">
                  <from>
                    <xdr:col>1</xdr:col>
                    <xdr:colOff>9525</xdr:colOff>
                    <xdr:row>33</xdr:row>
                    <xdr:rowOff>19050</xdr:rowOff>
                  </from>
                  <to>
                    <xdr:col>1</xdr:col>
                    <xdr:colOff>1924050</xdr:colOff>
                    <xdr:row>33</xdr:row>
                    <xdr:rowOff>219075</xdr:rowOff>
                  </to>
                </anchor>
              </controlPr>
            </control>
          </mc:Choice>
        </mc:AlternateContent>
        <mc:AlternateContent xmlns:mc="http://schemas.openxmlformats.org/markup-compatibility/2006">
          <mc:Choice Requires="x14">
            <control shapeId="14360" r:id="rId27" name="Drop Down 24">
              <controlPr defaultSize="0" autoLine="0" autoPict="0">
                <anchor moveWithCells="1">
                  <from>
                    <xdr:col>1</xdr:col>
                    <xdr:colOff>9525</xdr:colOff>
                    <xdr:row>34</xdr:row>
                    <xdr:rowOff>19050</xdr:rowOff>
                  </from>
                  <to>
                    <xdr:col>1</xdr:col>
                    <xdr:colOff>1924050</xdr:colOff>
                    <xdr:row>34</xdr:row>
                    <xdr:rowOff>219075</xdr:rowOff>
                  </to>
                </anchor>
              </controlPr>
            </control>
          </mc:Choice>
        </mc:AlternateContent>
        <mc:AlternateContent xmlns:mc="http://schemas.openxmlformats.org/markup-compatibility/2006">
          <mc:Choice Requires="x14">
            <control shapeId="14361" r:id="rId28" name="Drop Down 25">
              <controlPr defaultSize="0" autoLine="0" autoPict="0">
                <anchor moveWithCells="1">
                  <from>
                    <xdr:col>1</xdr:col>
                    <xdr:colOff>9525</xdr:colOff>
                    <xdr:row>35</xdr:row>
                    <xdr:rowOff>19050</xdr:rowOff>
                  </from>
                  <to>
                    <xdr:col>1</xdr:col>
                    <xdr:colOff>1924050</xdr:colOff>
                    <xdr:row>35</xdr:row>
                    <xdr:rowOff>219075</xdr:rowOff>
                  </to>
                </anchor>
              </controlPr>
            </control>
          </mc:Choice>
        </mc:AlternateContent>
        <mc:AlternateContent xmlns:mc="http://schemas.openxmlformats.org/markup-compatibility/2006">
          <mc:Choice Requires="x14">
            <control shapeId="14362" r:id="rId29" name="Drop Down 26">
              <controlPr defaultSize="0" autoLine="0" autoPict="0">
                <anchor moveWithCells="1">
                  <from>
                    <xdr:col>1</xdr:col>
                    <xdr:colOff>9525</xdr:colOff>
                    <xdr:row>36</xdr:row>
                    <xdr:rowOff>19050</xdr:rowOff>
                  </from>
                  <to>
                    <xdr:col>1</xdr:col>
                    <xdr:colOff>1924050</xdr:colOff>
                    <xdr:row>36</xdr:row>
                    <xdr:rowOff>219075</xdr:rowOff>
                  </to>
                </anchor>
              </controlPr>
            </control>
          </mc:Choice>
        </mc:AlternateContent>
        <mc:AlternateContent xmlns:mc="http://schemas.openxmlformats.org/markup-compatibility/2006">
          <mc:Choice Requires="x14">
            <control shapeId="14363" r:id="rId30" name="Drop Down 27">
              <controlPr defaultSize="0" autoLine="0" autoPict="0">
                <anchor moveWithCells="1">
                  <from>
                    <xdr:col>1</xdr:col>
                    <xdr:colOff>9525</xdr:colOff>
                    <xdr:row>37</xdr:row>
                    <xdr:rowOff>19050</xdr:rowOff>
                  </from>
                  <to>
                    <xdr:col>1</xdr:col>
                    <xdr:colOff>1924050</xdr:colOff>
                    <xdr:row>37</xdr:row>
                    <xdr:rowOff>219075</xdr:rowOff>
                  </to>
                </anchor>
              </controlPr>
            </control>
          </mc:Choice>
        </mc:AlternateContent>
        <mc:AlternateContent xmlns:mc="http://schemas.openxmlformats.org/markup-compatibility/2006">
          <mc:Choice Requires="x14">
            <control shapeId="14364" r:id="rId31" name="Drop Down 28">
              <controlPr defaultSize="0" autoLine="0" autoPict="0">
                <anchor moveWithCells="1">
                  <from>
                    <xdr:col>1</xdr:col>
                    <xdr:colOff>9525</xdr:colOff>
                    <xdr:row>38</xdr:row>
                    <xdr:rowOff>19050</xdr:rowOff>
                  </from>
                  <to>
                    <xdr:col>1</xdr:col>
                    <xdr:colOff>1924050</xdr:colOff>
                    <xdr:row>38</xdr:row>
                    <xdr:rowOff>219075</xdr:rowOff>
                  </to>
                </anchor>
              </controlPr>
            </control>
          </mc:Choice>
        </mc:AlternateContent>
        <mc:AlternateContent xmlns:mc="http://schemas.openxmlformats.org/markup-compatibility/2006">
          <mc:Choice Requires="x14">
            <control shapeId="14365" r:id="rId32" name="Drop Down 29">
              <controlPr defaultSize="0" autoLine="0" autoPict="0">
                <anchor moveWithCells="1">
                  <from>
                    <xdr:col>1</xdr:col>
                    <xdr:colOff>9525</xdr:colOff>
                    <xdr:row>39</xdr:row>
                    <xdr:rowOff>19050</xdr:rowOff>
                  </from>
                  <to>
                    <xdr:col>1</xdr:col>
                    <xdr:colOff>1924050</xdr:colOff>
                    <xdr:row>39</xdr:row>
                    <xdr:rowOff>219075</xdr:rowOff>
                  </to>
                </anchor>
              </controlPr>
            </control>
          </mc:Choice>
        </mc:AlternateContent>
        <mc:AlternateContent xmlns:mc="http://schemas.openxmlformats.org/markup-compatibility/2006">
          <mc:Choice Requires="x14">
            <control shapeId="14366" r:id="rId33" name="Drop Down 30">
              <controlPr defaultSize="0" autoLine="0" autoPict="0">
                <anchor moveWithCells="1">
                  <from>
                    <xdr:col>1</xdr:col>
                    <xdr:colOff>9525</xdr:colOff>
                    <xdr:row>40</xdr:row>
                    <xdr:rowOff>19050</xdr:rowOff>
                  </from>
                  <to>
                    <xdr:col>1</xdr:col>
                    <xdr:colOff>1924050</xdr:colOff>
                    <xdr:row>40</xdr:row>
                    <xdr:rowOff>219075</xdr:rowOff>
                  </to>
                </anchor>
              </controlPr>
            </control>
          </mc:Choice>
        </mc:AlternateContent>
        <mc:AlternateContent xmlns:mc="http://schemas.openxmlformats.org/markup-compatibility/2006">
          <mc:Choice Requires="x14">
            <control shapeId="14367" r:id="rId34" name="Drop Down 31">
              <controlPr defaultSize="0" autoLine="0" autoPict="0">
                <anchor moveWithCells="1">
                  <from>
                    <xdr:col>1</xdr:col>
                    <xdr:colOff>9525</xdr:colOff>
                    <xdr:row>41</xdr:row>
                    <xdr:rowOff>19050</xdr:rowOff>
                  </from>
                  <to>
                    <xdr:col>1</xdr:col>
                    <xdr:colOff>1924050</xdr:colOff>
                    <xdr:row>41</xdr:row>
                    <xdr:rowOff>219075</xdr:rowOff>
                  </to>
                </anchor>
              </controlPr>
            </control>
          </mc:Choice>
        </mc:AlternateContent>
        <mc:AlternateContent xmlns:mc="http://schemas.openxmlformats.org/markup-compatibility/2006">
          <mc:Choice Requires="x14">
            <control shapeId="14368" r:id="rId35" name="Drop Down 32">
              <controlPr defaultSize="0" autoLine="0" autoPict="0">
                <anchor moveWithCells="1">
                  <from>
                    <xdr:col>1</xdr:col>
                    <xdr:colOff>9525</xdr:colOff>
                    <xdr:row>42</xdr:row>
                    <xdr:rowOff>19050</xdr:rowOff>
                  </from>
                  <to>
                    <xdr:col>1</xdr:col>
                    <xdr:colOff>1924050</xdr:colOff>
                    <xdr:row>42</xdr:row>
                    <xdr:rowOff>219075</xdr:rowOff>
                  </to>
                </anchor>
              </controlPr>
            </control>
          </mc:Choice>
        </mc:AlternateContent>
        <mc:AlternateContent xmlns:mc="http://schemas.openxmlformats.org/markup-compatibility/2006">
          <mc:Choice Requires="x14">
            <control shapeId="14369" r:id="rId36" name="Drop Down 33">
              <controlPr defaultSize="0" autoLine="0" autoPict="0">
                <anchor moveWithCells="1">
                  <from>
                    <xdr:col>1</xdr:col>
                    <xdr:colOff>9525</xdr:colOff>
                    <xdr:row>43</xdr:row>
                    <xdr:rowOff>19050</xdr:rowOff>
                  </from>
                  <to>
                    <xdr:col>1</xdr:col>
                    <xdr:colOff>1924050</xdr:colOff>
                    <xdr:row>43</xdr:row>
                    <xdr:rowOff>219075</xdr:rowOff>
                  </to>
                </anchor>
              </controlPr>
            </control>
          </mc:Choice>
        </mc:AlternateContent>
        <mc:AlternateContent xmlns:mc="http://schemas.openxmlformats.org/markup-compatibility/2006">
          <mc:Choice Requires="x14">
            <control shapeId="14370" r:id="rId37" name="Drop Down 34">
              <controlPr defaultSize="0" autoLine="0" autoPict="0">
                <anchor moveWithCells="1">
                  <from>
                    <xdr:col>1</xdr:col>
                    <xdr:colOff>9525</xdr:colOff>
                    <xdr:row>44</xdr:row>
                    <xdr:rowOff>19050</xdr:rowOff>
                  </from>
                  <to>
                    <xdr:col>1</xdr:col>
                    <xdr:colOff>1924050</xdr:colOff>
                    <xdr:row>44</xdr:row>
                    <xdr:rowOff>219075</xdr:rowOff>
                  </to>
                </anchor>
              </controlPr>
            </control>
          </mc:Choice>
        </mc:AlternateContent>
        <mc:AlternateContent xmlns:mc="http://schemas.openxmlformats.org/markup-compatibility/2006">
          <mc:Choice Requires="x14">
            <control shapeId="14371" r:id="rId38" name="Drop Down 35">
              <controlPr defaultSize="0" autoLine="0" autoPict="0">
                <anchor moveWithCells="1">
                  <from>
                    <xdr:col>1</xdr:col>
                    <xdr:colOff>9525</xdr:colOff>
                    <xdr:row>45</xdr:row>
                    <xdr:rowOff>19050</xdr:rowOff>
                  </from>
                  <to>
                    <xdr:col>1</xdr:col>
                    <xdr:colOff>1924050</xdr:colOff>
                    <xdr:row>45</xdr:row>
                    <xdr:rowOff>219075</xdr:rowOff>
                  </to>
                </anchor>
              </controlPr>
            </control>
          </mc:Choice>
        </mc:AlternateContent>
        <mc:AlternateContent xmlns:mc="http://schemas.openxmlformats.org/markup-compatibility/2006">
          <mc:Choice Requires="x14">
            <control shapeId="14372" r:id="rId39" name="Drop Down 36">
              <controlPr defaultSize="0" autoLine="0" autoPict="0">
                <anchor moveWithCells="1">
                  <from>
                    <xdr:col>1</xdr:col>
                    <xdr:colOff>9525</xdr:colOff>
                    <xdr:row>46</xdr:row>
                    <xdr:rowOff>19050</xdr:rowOff>
                  </from>
                  <to>
                    <xdr:col>1</xdr:col>
                    <xdr:colOff>1924050</xdr:colOff>
                    <xdr:row>46</xdr:row>
                    <xdr:rowOff>219075</xdr:rowOff>
                  </to>
                </anchor>
              </controlPr>
            </control>
          </mc:Choice>
        </mc:AlternateContent>
        <mc:AlternateContent xmlns:mc="http://schemas.openxmlformats.org/markup-compatibility/2006">
          <mc:Choice Requires="x14">
            <control shapeId="14373" r:id="rId40" name="Drop Down 37">
              <controlPr defaultSize="0" autoLine="0" autoPict="0">
                <anchor moveWithCells="1">
                  <from>
                    <xdr:col>1</xdr:col>
                    <xdr:colOff>9525</xdr:colOff>
                    <xdr:row>47</xdr:row>
                    <xdr:rowOff>19050</xdr:rowOff>
                  </from>
                  <to>
                    <xdr:col>1</xdr:col>
                    <xdr:colOff>1924050</xdr:colOff>
                    <xdr:row>47</xdr:row>
                    <xdr:rowOff>219075</xdr:rowOff>
                  </to>
                </anchor>
              </controlPr>
            </control>
          </mc:Choice>
        </mc:AlternateContent>
        <mc:AlternateContent xmlns:mc="http://schemas.openxmlformats.org/markup-compatibility/2006">
          <mc:Choice Requires="x14">
            <control shapeId="14374" r:id="rId41" name="Drop Down 38">
              <controlPr defaultSize="0" autoLine="0" autoPict="0">
                <anchor moveWithCells="1">
                  <from>
                    <xdr:col>1</xdr:col>
                    <xdr:colOff>9525</xdr:colOff>
                    <xdr:row>48</xdr:row>
                    <xdr:rowOff>19050</xdr:rowOff>
                  </from>
                  <to>
                    <xdr:col>1</xdr:col>
                    <xdr:colOff>1924050</xdr:colOff>
                    <xdr:row>48</xdr:row>
                    <xdr:rowOff>219075</xdr:rowOff>
                  </to>
                </anchor>
              </controlPr>
            </control>
          </mc:Choice>
        </mc:AlternateContent>
        <mc:AlternateContent xmlns:mc="http://schemas.openxmlformats.org/markup-compatibility/2006">
          <mc:Choice Requires="x14">
            <control shapeId="14375" r:id="rId42" name="Drop Down 39">
              <controlPr defaultSize="0" autoLine="0" autoPict="0">
                <anchor moveWithCells="1">
                  <from>
                    <xdr:col>1</xdr:col>
                    <xdr:colOff>9525</xdr:colOff>
                    <xdr:row>49</xdr:row>
                    <xdr:rowOff>19050</xdr:rowOff>
                  </from>
                  <to>
                    <xdr:col>1</xdr:col>
                    <xdr:colOff>1924050</xdr:colOff>
                    <xdr:row>49</xdr:row>
                    <xdr:rowOff>219075</xdr:rowOff>
                  </to>
                </anchor>
              </controlPr>
            </control>
          </mc:Choice>
        </mc:AlternateContent>
        <mc:AlternateContent xmlns:mc="http://schemas.openxmlformats.org/markup-compatibility/2006">
          <mc:Choice Requires="x14">
            <control shapeId="14376" r:id="rId43" name="Drop Down 40">
              <controlPr defaultSize="0" autoLine="0" autoPict="0">
                <anchor moveWithCells="1">
                  <from>
                    <xdr:col>1</xdr:col>
                    <xdr:colOff>9525</xdr:colOff>
                    <xdr:row>50</xdr:row>
                    <xdr:rowOff>19050</xdr:rowOff>
                  </from>
                  <to>
                    <xdr:col>1</xdr:col>
                    <xdr:colOff>1924050</xdr:colOff>
                    <xdr:row>50</xdr:row>
                    <xdr:rowOff>219075</xdr:rowOff>
                  </to>
                </anchor>
              </controlPr>
            </control>
          </mc:Choice>
        </mc:AlternateContent>
        <mc:AlternateContent xmlns:mc="http://schemas.openxmlformats.org/markup-compatibility/2006">
          <mc:Choice Requires="x14">
            <control shapeId="14377" r:id="rId44" name="Drop Down 41">
              <controlPr defaultSize="0" autoLine="0" autoPict="0">
                <anchor moveWithCells="1">
                  <from>
                    <xdr:col>1</xdr:col>
                    <xdr:colOff>9525</xdr:colOff>
                    <xdr:row>51</xdr:row>
                    <xdr:rowOff>19050</xdr:rowOff>
                  </from>
                  <to>
                    <xdr:col>1</xdr:col>
                    <xdr:colOff>1924050</xdr:colOff>
                    <xdr:row>51</xdr:row>
                    <xdr:rowOff>219075</xdr:rowOff>
                  </to>
                </anchor>
              </controlPr>
            </control>
          </mc:Choice>
        </mc:AlternateContent>
        <mc:AlternateContent xmlns:mc="http://schemas.openxmlformats.org/markup-compatibility/2006">
          <mc:Choice Requires="x14">
            <control shapeId="14378" r:id="rId45" name="Drop Down 42">
              <controlPr defaultSize="0" autoLine="0" autoPict="0">
                <anchor moveWithCells="1">
                  <from>
                    <xdr:col>1</xdr:col>
                    <xdr:colOff>9525</xdr:colOff>
                    <xdr:row>52</xdr:row>
                    <xdr:rowOff>19050</xdr:rowOff>
                  </from>
                  <to>
                    <xdr:col>1</xdr:col>
                    <xdr:colOff>1924050</xdr:colOff>
                    <xdr:row>52</xdr:row>
                    <xdr:rowOff>219075</xdr:rowOff>
                  </to>
                </anchor>
              </controlPr>
            </control>
          </mc:Choice>
        </mc:AlternateContent>
        <mc:AlternateContent xmlns:mc="http://schemas.openxmlformats.org/markup-compatibility/2006">
          <mc:Choice Requires="x14">
            <control shapeId="14379" r:id="rId46" name="Drop Down 43">
              <controlPr defaultSize="0" autoLine="0" autoPict="0">
                <anchor moveWithCells="1">
                  <from>
                    <xdr:col>1</xdr:col>
                    <xdr:colOff>9525</xdr:colOff>
                    <xdr:row>53</xdr:row>
                    <xdr:rowOff>19050</xdr:rowOff>
                  </from>
                  <to>
                    <xdr:col>1</xdr:col>
                    <xdr:colOff>1924050</xdr:colOff>
                    <xdr:row>53</xdr:row>
                    <xdr:rowOff>219075</xdr:rowOff>
                  </to>
                </anchor>
              </controlPr>
            </control>
          </mc:Choice>
        </mc:AlternateContent>
        <mc:AlternateContent xmlns:mc="http://schemas.openxmlformats.org/markup-compatibility/2006">
          <mc:Choice Requires="x14">
            <control shapeId="14380" r:id="rId47" name="Drop Down 44">
              <controlPr defaultSize="0" autoLine="0" autoPict="0">
                <anchor moveWithCells="1">
                  <from>
                    <xdr:col>1</xdr:col>
                    <xdr:colOff>9525</xdr:colOff>
                    <xdr:row>54</xdr:row>
                    <xdr:rowOff>19050</xdr:rowOff>
                  </from>
                  <to>
                    <xdr:col>1</xdr:col>
                    <xdr:colOff>1924050</xdr:colOff>
                    <xdr:row>54</xdr:row>
                    <xdr:rowOff>219075</xdr:rowOff>
                  </to>
                </anchor>
              </controlPr>
            </control>
          </mc:Choice>
        </mc:AlternateContent>
        <mc:AlternateContent xmlns:mc="http://schemas.openxmlformats.org/markup-compatibility/2006">
          <mc:Choice Requires="x14">
            <control shapeId="14381" r:id="rId48" name="Drop Down 45">
              <controlPr defaultSize="0" autoLine="0" autoPict="0">
                <anchor moveWithCells="1">
                  <from>
                    <xdr:col>1</xdr:col>
                    <xdr:colOff>9525</xdr:colOff>
                    <xdr:row>55</xdr:row>
                    <xdr:rowOff>19050</xdr:rowOff>
                  </from>
                  <to>
                    <xdr:col>1</xdr:col>
                    <xdr:colOff>1924050</xdr:colOff>
                    <xdr:row>55</xdr:row>
                    <xdr:rowOff>219075</xdr:rowOff>
                  </to>
                </anchor>
              </controlPr>
            </control>
          </mc:Choice>
        </mc:AlternateContent>
        <mc:AlternateContent xmlns:mc="http://schemas.openxmlformats.org/markup-compatibility/2006">
          <mc:Choice Requires="x14">
            <control shapeId="14382" r:id="rId49" name="Check Box 46">
              <controlPr defaultSize="0" autoFill="0" autoLine="0" autoPict="0">
                <anchor moveWithCells="1">
                  <from>
                    <xdr:col>10</xdr:col>
                    <xdr:colOff>247650</xdr:colOff>
                    <xdr:row>59</xdr:row>
                    <xdr:rowOff>0</xdr:rowOff>
                  </from>
                  <to>
                    <xdr:col>10</xdr:col>
                    <xdr:colOff>476250</xdr:colOff>
                    <xdr:row>59</xdr:row>
                    <xdr:rowOff>190500</xdr:rowOff>
                  </to>
                </anchor>
              </controlPr>
            </control>
          </mc:Choice>
        </mc:AlternateContent>
      </controls>
    </mc:Choice>
  </mc:AlternateContent>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5"/>
  <dimension ref="A1:R112"/>
  <sheetViews>
    <sheetView showGridLines="0" zoomScaleNormal="100" workbookViewId="0">
      <selection activeCell="H118" sqref="H118"/>
    </sheetView>
  </sheetViews>
  <sheetFormatPr defaultRowHeight="12.75" x14ac:dyDescent="0.2"/>
  <cols>
    <col min="1" max="1" width="3.7109375" customWidth="1"/>
    <col min="2" max="2" width="29.28515625" customWidth="1"/>
    <col min="3" max="3" width="4" hidden="1" customWidth="1"/>
    <col min="4" max="4" width="4.7109375" customWidth="1"/>
    <col min="5" max="6" width="16" customWidth="1"/>
    <col min="7" max="7" width="10.7109375" customWidth="1"/>
    <col min="8" max="8" width="6" customWidth="1"/>
    <col min="9" max="9" width="10.7109375" customWidth="1"/>
    <col min="10" max="10" width="6" customWidth="1"/>
    <col min="11" max="11" width="10.7109375" customWidth="1"/>
    <col min="12" max="12" width="6" customWidth="1"/>
    <col min="13" max="13" width="9.7109375" customWidth="1"/>
    <col min="14" max="14" width="3.28515625" hidden="1" customWidth="1"/>
    <col min="15" max="15" width="11.28515625" customWidth="1"/>
    <col min="16" max="16" width="10.7109375" customWidth="1"/>
    <col min="17" max="17" width="5.7109375" customWidth="1"/>
    <col min="18" max="18" width="10.7109375" customWidth="1"/>
    <col min="19" max="19" width="12.7109375" customWidth="1"/>
  </cols>
  <sheetData>
    <row r="1" spans="1:18" ht="26.1" customHeight="1" x14ac:dyDescent="0.4">
      <c r="A1" s="1372" t="s">
        <v>372</v>
      </c>
      <c r="B1" s="1540"/>
      <c r="C1" s="216"/>
      <c r="D1" s="1541" t="s">
        <v>364</v>
      </c>
      <c r="E1" s="1374"/>
      <c r="F1" s="1374"/>
      <c r="G1" s="1374"/>
      <c r="H1" s="1374"/>
      <c r="I1" s="1374"/>
      <c r="J1" s="1374"/>
      <c r="K1" s="1542"/>
      <c r="L1" s="1380">
        <f>IF('Complete This Page'!G11="",YEAR('Complete This Page'!H11),'Complete This Page'!G11)</f>
        <v>2018</v>
      </c>
      <c r="M1" s="1381"/>
      <c r="O1" s="171"/>
      <c r="P1" s="171"/>
      <c r="Q1" s="171"/>
      <c r="R1" s="171"/>
    </row>
    <row r="2" spans="1:18" ht="11.25" customHeight="1" x14ac:dyDescent="0.2">
      <c r="A2" s="1545" t="s">
        <v>159</v>
      </c>
      <c r="B2" s="1546"/>
      <c r="C2" s="217"/>
      <c r="D2" s="1543"/>
      <c r="E2" s="1375"/>
      <c r="F2" s="1375"/>
      <c r="G2" s="1375"/>
      <c r="H2" s="1375"/>
      <c r="I2" s="1375"/>
      <c r="J2" s="1375"/>
      <c r="K2" s="1544"/>
      <c r="L2" s="1382" t="str">
        <f>+'Complete This Page'!J1</f>
        <v>NPAC v2018.0</v>
      </c>
      <c r="M2" s="1383"/>
      <c r="O2" s="786"/>
      <c r="P2" s="171"/>
      <c r="Q2" s="171"/>
      <c r="R2" s="171"/>
    </row>
    <row r="3" spans="1:18" x14ac:dyDescent="0.2">
      <c r="A3" s="1" t="s">
        <v>467</v>
      </c>
      <c r="B3" s="879"/>
      <c r="C3" s="879"/>
      <c r="D3" s="879"/>
      <c r="E3" s="879"/>
      <c r="F3" s="879"/>
      <c r="G3" s="879"/>
      <c r="H3" s="879"/>
      <c r="I3" s="880"/>
      <c r="J3" s="334"/>
      <c r="K3" s="335" t="s">
        <v>466</v>
      </c>
      <c r="L3" s="1"/>
      <c r="M3" s="1"/>
      <c r="O3" s="171"/>
      <c r="P3" s="171"/>
      <c r="Q3" s="171"/>
      <c r="R3" s="171"/>
    </row>
    <row r="4" spans="1:18" ht="18" x14ac:dyDescent="0.25">
      <c r="A4" s="881"/>
      <c r="B4" s="1377">
        <f>'Complete This Page'!B3</f>
        <v>0</v>
      </c>
      <c r="C4" s="1377"/>
      <c r="D4" s="1377"/>
      <c r="E4" s="1377"/>
      <c r="F4" s="1377"/>
      <c r="G4" s="1377"/>
      <c r="H4" s="1377"/>
      <c r="I4" s="1377"/>
      <c r="J4" s="1378"/>
      <c r="K4" s="1350">
        <f>'Complete This Page'!G3</f>
        <v>0</v>
      </c>
      <c r="L4" s="1351"/>
      <c r="M4" s="1351"/>
      <c r="O4" s="786"/>
      <c r="P4" s="171"/>
      <c r="Q4" s="171"/>
      <c r="R4" s="171"/>
    </row>
    <row r="5" spans="1:18" s="7" customFormat="1" ht="8.25" x14ac:dyDescent="0.15">
      <c r="L5" s="8"/>
      <c r="M5" s="603"/>
      <c r="O5" s="604"/>
      <c r="P5" s="604"/>
      <c r="Q5" s="604"/>
      <c r="R5" s="604"/>
    </row>
    <row r="6" spans="1:18" x14ac:dyDescent="0.2">
      <c r="B6" s="1550" t="s">
        <v>314</v>
      </c>
      <c r="E6" s="1526" t="s">
        <v>628</v>
      </c>
      <c r="F6" s="1527"/>
      <c r="G6" s="674">
        <f>IF(Overflow!G6="","",Overflow!G6)</f>
        <v>0</v>
      </c>
      <c r="I6" s="1534" t="s">
        <v>631</v>
      </c>
      <c r="J6" s="1535"/>
      <c r="K6" s="675">
        <f>IF(Overflow!K6="","",Overflow!K6)</f>
        <v>0</v>
      </c>
      <c r="L6" s="320"/>
      <c r="N6" s="340">
        <f>IF(G8&gt;0,1,0)</f>
        <v>0</v>
      </c>
      <c r="O6" s="171"/>
      <c r="P6" s="171"/>
      <c r="Q6" s="171"/>
      <c r="R6" s="171"/>
    </row>
    <row r="7" spans="1:18" x14ac:dyDescent="0.2">
      <c r="B7" s="1551"/>
      <c r="D7" s="329"/>
      <c r="E7" s="1528" t="s">
        <v>629</v>
      </c>
      <c r="F7" s="1529"/>
      <c r="G7" s="674">
        <f>IF(Overflow!G7="","",Overflow!G7)</f>
        <v>0</v>
      </c>
      <c r="H7" s="321"/>
      <c r="I7" s="333"/>
      <c r="J7" s="321"/>
      <c r="K7" s="320"/>
      <c r="L7" s="320"/>
      <c r="N7" s="340">
        <f>IF(K6&gt;0,1,0)</f>
        <v>0</v>
      </c>
      <c r="O7" s="171"/>
      <c r="P7" s="342"/>
      <c r="Q7" s="342"/>
      <c r="R7" s="343"/>
    </row>
    <row r="8" spans="1:18" x14ac:dyDescent="0.2">
      <c r="B8" s="1551"/>
      <c r="D8" s="329"/>
      <c r="E8" s="1532" t="s">
        <v>630</v>
      </c>
      <c r="F8" s="1533"/>
      <c r="G8" s="599">
        <f>SUM(G6:G7)</f>
        <v>0</v>
      </c>
      <c r="H8" s="321"/>
      <c r="I8" s="1536" t="s">
        <v>632</v>
      </c>
      <c r="J8" s="1537"/>
      <c r="K8" s="675">
        <f>IF(Overflow!K8="","",Overflow!K8)</f>
        <v>0</v>
      </c>
      <c r="N8" s="340">
        <f>IF(K8&gt;0,1,0)</f>
        <v>0</v>
      </c>
      <c r="O8" s="171"/>
      <c r="P8" s="171"/>
      <c r="Q8" s="171"/>
      <c r="R8" s="171"/>
    </row>
    <row r="9" spans="1:18" s="7" customFormat="1" ht="11.25" customHeight="1" x14ac:dyDescent="0.15">
      <c r="N9" s="605">
        <f>SUM(N6:N8)</f>
        <v>0</v>
      </c>
      <c r="O9" s="604"/>
      <c r="P9" s="604"/>
      <c r="Q9" s="604"/>
      <c r="R9" s="604"/>
    </row>
    <row r="10" spans="1:18" s="1" customFormat="1" ht="11.25" x14ac:dyDescent="0.2">
      <c r="B10" s="322"/>
      <c r="D10" s="1547" t="s">
        <v>588</v>
      </c>
      <c r="E10" s="1530" t="s">
        <v>621</v>
      </c>
      <c r="F10" s="1531"/>
      <c r="G10" s="1531"/>
      <c r="H10" s="1538"/>
      <c r="I10" s="1530" t="s">
        <v>627</v>
      </c>
      <c r="J10" s="1531"/>
      <c r="K10" s="1006" t="s">
        <v>1670</v>
      </c>
      <c r="L10" s="1007"/>
      <c r="M10" s="21" t="s">
        <v>620</v>
      </c>
      <c r="O10" s="344"/>
      <c r="P10" s="344"/>
      <c r="Q10" s="344"/>
      <c r="R10" s="344"/>
    </row>
    <row r="11" spans="1:18" x14ac:dyDescent="0.2">
      <c r="B11" s="323" t="s">
        <v>618</v>
      </c>
      <c r="C11" s="324" t="s">
        <v>164</v>
      </c>
      <c r="D11" s="1548"/>
      <c r="E11" s="22" t="s">
        <v>622</v>
      </c>
      <c r="F11" s="22" t="s">
        <v>623</v>
      </c>
      <c r="G11" s="22" t="s">
        <v>624</v>
      </c>
      <c r="H11" s="22" t="s">
        <v>625</v>
      </c>
      <c r="I11" s="22" t="s">
        <v>619</v>
      </c>
      <c r="J11" s="22" t="s">
        <v>625</v>
      </c>
      <c r="K11" s="22" t="s">
        <v>626</v>
      </c>
      <c r="L11" s="22" t="s">
        <v>625</v>
      </c>
      <c r="M11" s="22"/>
      <c r="O11" s="171"/>
      <c r="P11" s="171"/>
      <c r="Q11" s="171"/>
      <c r="R11" s="171"/>
    </row>
    <row r="12" spans="1:18" ht="18" customHeight="1" x14ac:dyDescent="0.2">
      <c r="A12" s="325">
        <v>316</v>
      </c>
      <c r="B12" s="878"/>
      <c r="C12" s="326">
        <v>1</v>
      </c>
      <c r="D12" s="327">
        <f>LOOKUP(C12,Cities!A$3:A$343,Cities!B$3:B$343)</f>
        <v>0</v>
      </c>
      <c r="E12" s="332"/>
      <c r="F12" s="332"/>
      <c r="G12" s="331">
        <f t="shared" ref="G12:G56" si="0">+E12+F12</f>
        <v>0</v>
      </c>
      <c r="H12" s="914" t="str">
        <f t="shared" ref="H12:H56" si="1">IF(G$8&gt;0,ROUND(G12/G$8,6),"n/a")</f>
        <v>n/a</v>
      </c>
      <c r="I12" s="332"/>
      <c r="J12" s="914" t="str">
        <f>IF(Overflow!K$6&gt;0,ROUND(I12/Overflow!K$6,6),"n/a")</f>
        <v>n/a</v>
      </c>
      <c r="K12" s="332"/>
      <c r="L12" s="914" t="str">
        <f>IF(Overflow!K$8&gt;0,ROUND(K12/Overflow!K$8,6),"n/a")</f>
        <v>n/a</v>
      </c>
      <c r="M12" s="330">
        <f>IF(Overflow!G$8+Overflow!K$6+Overflow!K$8=0,0,ROUND((IF(H12="n/a",0,H12)+IF(J12="n/a",0,J12)+IF(L12="n/a",0,L12))/N$9,6))</f>
        <v>0</v>
      </c>
      <c r="O12" s="785">
        <f>LOOKUP(C12,Cities!A$3:A$343,Cities!AA$3:AA$343)</f>
        <v>0</v>
      </c>
      <c r="P12" s="171"/>
      <c r="Q12" s="171"/>
      <c r="R12" s="171"/>
    </row>
    <row r="13" spans="1:18" ht="18" customHeight="1" x14ac:dyDescent="0.2">
      <c r="A13" s="325">
        <f>A12+1</f>
        <v>317</v>
      </c>
      <c r="B13" s="878"/>
      <c r="C13" s="326">
        <v>1</v>
      </c>
      <c r="D13" s="327">
        <f>LOOKUP(C13,Cities!A$3:A$343,Cities!B$3:B$343)</f>
        <v>0</v>
      </c>
      <c r="E13" s="332"/>
      <c r="F13" s="332"/>
      <c r="G13" s="331">
        <f t="shared" si="0"/>
        <v>0</v>
      </c>
      <c r="H13" s="914" t="str">
        <f t="shared" si="1"/>
        <v>n/a</v>
      </c>
      <c r="I13" s="332"/>
      <c r="J13" s="914" t="str">
        <f>IF(Overflow!K$6&gt;0,ROUND(I13/Overflow!K$6,6),"n/a")</f>
        <v>n/a</v>
      </c>
      <c r="K13" s="332"/>
      <c r="L13" s="914" t="str">
        <f>IF(Overflow!K$8&gt;0,ROUND(K13/Overflow!K$8,6),"n/a")</f>
        <v>n/a</v>
      </c>
      <c r="M13" s="330">
        <f>IF(Overflow!G$8+Overflow!K$6+Overflow!K$8=0,0,ROUND((IF(H13="n/a",0,H13)+IF(J13="n/a",0,J13)+IF(L13="n/a",0,L13))/N$9,6))</f>
        <v>0</v>
      </c>
      <c r="O13" s="785">
        <f>LOOKUP(C13,Cities!A$3:A$343,Cities!AA$3:AA$343)</f>
        <v>0</v>
      </c>
      <c r="P13" s="171"/>
      <c r="Q13" s="171"/>
      <c r="R13" s="171"/>
    </row>
    <row r="14" spans="1:18" ht="18" customHeight="1" x14ac:dyDescent="0.2">
      <c r="A14" s="325">
        <f t="shared" ref="A14:A56" si="2">A13+1</f>
        <v>318</v>
      </c>
      <c r="B14" s="878"/>
      <c r="C14" s="326">
        <v>1</v>
      </c>
      <c r="D14" s="327">
        <f>LOOKUP(C14,Cities!A$3:A$343,Cities!B$3:B$343)</f>
        <v>0</v>
      </c>
      <c r="E14" s="332"/>
      <c r="F14" s="332"/>
      <c r="G14" s="331">
        <f t="shared" si="0"/>
        <v>0</v>
      </c>
      <c r="H14" s="914" t="str">
        <f t="shared" si="1"/>
        <v>n/a</v>
      </c>
      <c r="I14" s="332"/>
      <c r="J14" s="914" t="str">
        <f>IF(Overflow!K$6&gt;0,ROUND(I14/Overflow!K$6,6),"n/a")</f>
        <v>n/a</v>
      </c>
      <c r="K14" s="332"/>
      <c r="L14" s="914" t="str">
        <f>IF(Overflow!K$8&gt;0,ROUND(K14/Overflow!K$8,6),"n/a")</f>
        <v>n/a</v>
      </c>
      <c r="M14" s="330">
        <f>IF(Overflow!G$8+Overflow!K$6+Overflow!K$8=0,0,ROUND((IF(H14="n/a",0,H14)+IF(J14="n/a",0,J14)+IF(L14="n/a",0,L14))/N$9,6))</f>
        <v>0</v>
      </c>
      <c r="O14" s="785">
        <f>LOOKUP(C14,Cities!A$3:A$343,Cities!AA$3:AA$343)</f>
        <v>0</v>
      </c>
      <c r="P14" s="171"/>
      <c r="Q14" s="171"/>
      <c r="R14" s="171"/>
    </row>
    <row r="15" spans="1:18" ht="18" customHeight="1" x14ac:dyDescent="0.2">
      <c r="A15" s="325">
        <f t="shared" si="2"/>
        <v>319</v>
      </c>
      <c r="B15" s="878"/>
      <c r="C15" s="326">
        <v>1</v>
      </c>
      <c r="D15" s="327">
        <f>LOOKUP(C15,Cities!A$3:A$343,Cities!B$3:B$343)</f>
        <v>0</v>
      </c>
      <c r="E15" s="332"/>
      <c r="F15" s="332"/>
      <c r="G15" s="331">
        <f t="shared" si="0"/>
        <v>0</v>
      </c>
      <c r="H15" s="914" t="str">
        <f t="shared" si="1"/>
        <v>n/a</v>
      </c>
      <c r="I15" s="332"/>
      <c r="J15" s="914" t="str">
        <f>IF(Overflow!K$6&gt;0,ROUND(I15/Overflow!K$6,6),"n/a")</f>
        <v>n/a</v>
      </c>
      <c r="K15" s="332"/>
      <c r="L15" s="914" t="str">
        <f>IF(Overflow!K$8&gt;0,ROUND(K15/Overflow!K$8,6),"n/a")</f>
        <v>n/a</v>
      </c>
      <c r="M15" s="330">
        <f>IF(Overflow!G$8+Overflow!K$6+Overflow!K$8=0,0,ROUND((IF(H15="n/a",0,H15)+IF(J15="n/a",0,J15)+IF(L15="n/a",0,L15))/N$9,6))</f>
        <v>0</v>
      </c>
      <c r="O15" s="785">
        <f>LOOKUP(C15,Cities!A$3:A$343,Cities!AA$3:AA$343)</f>
        <v>0</v>
      </c>
      <c r="P15" s="171"/>
      <c r="Q15" s="171"/>
      <c r="R15" s="171"/>
    </row>
    <row r="16" spans="1:18" ht="18" customHeight="1" x14ac:dyDescent="0.2">
      <c r="A16" s="325">
        <f t="shared" si="2"/>
        <v>320</v>
      </c>
      <c r="B16" s="878"/>
      <c r="C16" s="326">
        <v>1</v>
      </c>
      <c r="D16" s="327">
        <f>LOOKUP(C16,Cities!A$3:A$343,Cities!B$3:B$343)</f>
        <v>0</v>
      </c>
      <c r="E16" s="332"/>
      <c r="F16" s="332"/>
      <c r="G16" s="331">
        <f t="shared" si="0"/>
        <v>0</v>
      </c>
      <c r="H16" s="914" t="str">
        <f t="shared" si="1"/>
        <v>n/a</v>
      </c>
      <c r="I16" s="332"/>
      <c r="J16" s="914" t="str">
        <f>IF(Overflow!K$6&gt;0,ROUND(I16/Overflow!K$6,6),"n/a")</f>
        <v>n/a</v>
      </c>
      <c r="K16" s="332"/>
      <c r="L16" s="914" t="str">
        <f>IF(Overflow!K$8&gt;0,ROUND(K16/Overflow!K$8,6),"n/a")</f>
        <v>n/a</v>
      </c>
      <c r="M16" s="330">
        <f>IF(Overflow!G$8+Overflow!K$6+Overflow!K$8=0,0,ROUND((IF(H16="n/a",0,H16)+IF(J16="n/a",0,J16)+IF(L16="n/a",0,L16))/N$9,6))</f>
        <v>0</v>
      </c>
      <c r="O16" s="785">
        <f>LOOKUP(C16,Cities!A$3:A$343,Cities!AA$3:AA$343)</f>
        <v>0</v>
      </c>
      <c r="P16" s="171"/>
      <c r="Q16" s="171"/>
      <c r="R16" s="171"/>
    </row>
    <row r="17" spans="1:18" ht="18" customHeight="1" x14ac:dyDescent="0.2">
      <c r="A17" s="325">
        <f t="shared" si="2"/>
        <v>321</v>
      </c>
      <c r="B17" s="878"/>
      <c r="C17" s="326">
        <v>1</v>
      </c>
      <c r="D17" s="327">
        <f>LOOKUP(C17,Cities!A$3:A$343,Cities!B$3:B$343)</f>
        <v>0</v>
      </c>
      <c r="E17" s="332"/>
      <c r="F17" s="332"/>
      <c r="G17" s="331">
        <f t="shared" si="0"/>
        <v>0</v>
      </c>
      <c r="H17" s="914" t="str">
        <f t="shared" si="1"/>
        <v>n/a</v>
      </c>
      <c r="I17" s="332"/>
      <c r="J17" s="914" t="str">
        <f>IF(Overflow!K$6&gt;0,ROUND(I17/Overflow!K$6,6),"n/a")</f>
        <v>n/a</v>
      </c>
      <c r="K17" s="332"/>
      <c r="L17" s="914" t="str">
        <f>IF(Overflow!K$8&gt;0,ROUND(K17/Overflow!K$8,6),"n/a")</f>
        <v>n/a</v>
      </c>
      <c r="M17" s="330">
        <f>IF(Overflow!G$8+Overflow!K$6+Overflow!K$8=0,0,ROUND((IF(H17="n/a",0,H17)+IF(J17="n/a",0,J17)+IF(L17="n/a",0,L17))/N$9,6))</f>
        <v>0</v>
      </c>
      <c r="O17" s="785">
        <f>LOOKUP(C17,Cities!A$3:A$343,Cities!AA$3:AA$343)</f>
        <v>0</v>
      </c>
      <c r="P17" s="171"/>
      <c r="Q17" s="171"/>
      <c r="R17" s="171"/>
    </row>
    <row r="18" spans="1:18" ht="18" customHeight="1" x14ac:dyDescent="0.2">
      <c r="A18" s="325">
        <f t="shared" si="2"/>
        <v>322</v>
      </c>
      <c r="B18" s="878"/>
      <c r="C18" s="326">
        <v>1</v>
      </c>
      <c r="D18" s="327">
        <f>LOOKUP(C18,Cities!A$3:A$343,Cities!B$3:B$343)</f>
        <v>0</v>
      </c>
      <c r="E18" s="332"/>
      <c r="F18" s="332"/>
      <c r="G18" s="331">
        <f t="shared" si="0"/>
        <v>0</v>
      </c>
      <c r="H18" s="914" t="str">
        <f t="shared" si="1"/>
        <v>n/a</v>
      </c>
      <c r="I18" s="332"/>
      <c r="J18" s="914" t="str">
        <f>IF(Overflow!K$6&gt;0,ROUND(I18/Overflow!K$6,6),"n/a")</f>
        <v>n/a</v>
      </c>
      <c r="K18" s="332"/>
      <c r="L18" s="914" t="str">
        <f>IF(Overflow!K$8&gt;0,ROUND(K18/Overflow!K$8,6),"n/a")</f>
        <v>n/a</v>
      </c>
      <c r="M18" s="330">
        <f>IF(Overflow!G$8+Overflow!K$6+Overflow!K$8=0,0,ROUND((IF(H18="n/a",0,H18)+IF(J18="n/a",0,J18)+IF(L18="n/a",0,L18))/N$9,6))</f>
        <v>0</v>
      </c>
      <c r="O18" s="785">
        <f>LOOKUP(C18,Cities!A$3:A$343,Cities!AA$3:AA$343)</f>
        <v>0</v>
      </c>
      <c r="P18" s="171"/>
      <c r="Q18" s="171"/>
      <c r="R18" s="171"/>
    </row>
    <row r="19" spans="1:18" ht="18" customHeight="1" x14ac:dyDescent="0.2">
      <c r="A19" s="325">
        <f t="shared" si="2"/>
        <v>323</v>
      </c>
      <c r="B19" s="878"/>
      <c r="C19" s="326">
        <v>1</v>
      </c>
      <c r="D19" s="327">
        <f>LOOKUP(C19,Cities!A$3:A$343,Cities!B$3:B$343)</f>
        <v>0</v>
      </c>
      <c r="E19" s="332"/>
      <c r="F19" s="332"/>
      <c r="G19" s="331">
        <f t="shared" si="0"/>
        <v>0</v>
      </c>
      <c r="H19" s="914" t="str">
        <f t="shared" si="1"/>
        <v>n/a</v>
      </c>
      <c r="I19" s="332"/>
      <c r="J19" s="914" t="str">
        <f>IF(Overflow!K$6&gt;0,ROUND(I19/Overflow!K$6,6),"n/a")</f>
        <v>n/a</v>
      </c>
      <c r="K19" s="332"/>
      <c r="L19" s="914" t="str">
        <f>IF(Overflow!K$8&gt;0,ROUND(K19/Overflow!K$8,6),"n/a")</f>
        <v>n/a</v>
      </c>
      <c r="M19" s="330">
        <f>IF(Overflow!G$8+Overflow!K$6+Overflow!K$8=0,0,ROUND((IF(H19="n/a",0,H19)+IF(J19="n/a",0,J19)+IF(L19="n/a",0,L19))/N$9,6))</f>
        <v>0</v>
      </c>
      <c r="O19" s="785">
        <f>LOOKUP(C19,Cities!A$3:A$343,Cities!AA$3:AA$343)</f>
        <v>0</v>
      </c>
      <c r="P19" s="171"/>
      <c r="Q19" s="171"/>
      <c r="R19" s="171"/>
    </row>
    <row r="20" spans="1:18" ht="18" customHeight="1" x14ac:dyDescent="0.2">
      <c r="A20" s="325">
        <f t="shared" si="2"/>
        <v>324</v>
      </c>
      <c r="B20" s="878"/>
      <c r="C20" s="326">
        <v>1</v>
      </c>
      <c r="D20" s="327">
        <f>LOOKUP(C20,Cities!A$3:A$343,Cities!B$3:B$343)</f>
        <v>0</v>
      </c>
      <c r="E20" s="332"/>
      <c r="F20" s="332"/>
      <c r="G20" s="331">
        <f t="shared" si="0"/>
        <v>0</v>
      </c>
      <c r="H20" s="914" t="str">
        <f t="shared" si="1"/>
        <v>n/a</v>
      </c>
      <c r="I20" s="332"/>
      <c r="J20" s="914" t="str">
        <f>IF(Overflow!K$6&gt;0,ROUND(I20/Overflow!K$6,6),"n/a")</f>
        <v>n/a</v>
      </c>
      <c r="K20" s="332"/>
      <c r="L20" s="914" t="str">
        <f>IF(Overflow!K$8&gt;0,ROUND(K20/Overflow!K$8,6),"n/a")</f>
        <v>n/a</v>
      </c>
      <c r="M20" s="330">
        <f>IF(Overflow!G$8+Overflow!K$6+Overflow!K$8=0,0,ROUND((IF(H20="n/a",0,H20)+IF(J20="n/a",0,J20)+IF(L20="n/a",0,L20))/N$9,6))</f>
        <v>0</v>
      </c>
      <c r="O20" s="785">
        <f>LOOKUP(C20,Cities!A$3:A$343,Cities!AA$3:AA$343)</f>
        <v>0</v>
      </c>
      <c r="P20" s="171"/>
      <c r="Q20" s="171"/>
      <c r="R20" s="171"/>
    </row>
    <row r="21" spans="1:18" ht="18" customHeight="1" x14ac:dyDescent="0.2">
      <c r="A21" s="325">
        <f t="shared" si="2"/>
        <v>325</v>
      </c>
      <c r="B21" s="878"/>
      <c r="C21" s="326">
        <v>1</v>
      </c>
      <c r="D21" s="327">
        <f>LOOKUP(C21,Cities!A$3:A$343,Cities!B$3:B$343)</f>
        <v>0</v>
      </c>
      <c r="E21" s="332"/>
      <c r="F21" s="332"/>
      <c r="G21" s="331">
        <f t="shared" si="0"/>
        <v>0</v>
      </c>
      <c r="H21" s="914" t="str">
        <f t="shared" si="1"/>
        <v>n/a</v>
      </c>
      <c r="I21" s="332"/>
      <c r="J21" s="914" t="str">
        <f>IF(Overflow!K$6&gt;0,ROUND(I21/Overflow!K$6,6),"n/a")</f>
        <v>n/a</v>
      </c>
      <c r="K21" s="332"/>
      <c r="L21" s="914" t="str">
        <f>IF(Overflow!K$8&gt;0,ROUND(K21/Overflow!K$8,6),"n/a")</f>
        <v>n/a</v>
      </c>
      <c r="M21" s="330">
        <f>IF(Overflow!G$8+Overflow!K$6+Overflow!K$8=0,0,ROUND((IF(H21="n/a",0,H21)+IF(J21="n/a",0,J21)+IF(L21="n/a",0,L21))/N$9,6))</f>
        <v>0</v>
      </c>
      <c r="O21" s="785">
        <f>LOOKUP(C21,Cities!A$3:A$343,Cities!AA$3:AA$343)</f>
        <v>0</v>
      </c>
      <c r="P21" s="171"/>
      <c r="Q21" s="171"/>
      <c r="R21" s="171"/>
    </row>
    <row r="22" spans="1:18" ht="18" customHeight="1" x14ac:dyDescent="0.2">
      <c r="A22" s="325">
        <f t="shared" si="2"/>
        <v>326</v>
      </c>
      <c r="B22" s="878"/>
      <c r="C22" s="326">
        <v>1</v>
      </c>
      <c r="D22" s="327">
        <f>LOOKUP(C22,Cities!A$3:A$343,Cities!B$3:B$343)</f>
        <v>0</v>
      </c>
      <c r="E22" s="332"/>
      <c r="F22" s="332"/>
      <c r="G22" s="331">
        <f t="shared" si="0"/>
        <v>0</v>
      </c>
      <c r="H22" s="914" t="str">
        <f t="shared" si="1"/>
        <v>n/a</v>
      </c>
      <c r="I22" s="332"/>
      <c r="J22" s="914" t="str">
        <f>IF(Overflow!K$6&gt;0,ROUND(I22/Overflow!K$6,6),"n/a")</f>
        <v>n/a</v>
      </c>
      <c r="K22" s="332"/>
      <c r="L22" s="914" t="str">
        <f>IF(Overflow!K$8&gt;0,ROUND(K22/Overflow!K$8,6),"n/a")</f>
        <v>n/a</v>
      </c>
      <c r="M22" s="330">
        <f>IF(Overflow!G$8+Overflow!K$6+Overflow!K$8=0,0,ROUND((IF(H22="n/a",0,H22)+IF(J22="n/a",0,J22)+IF(L22="n/a",0,L22))/N$9,6))</f>
        <v>0</v>
      </c>
      <c r="O22" s="785">
        <f>LOOKUP(C22,Cities!A$3:A$343,Cities!AA$3:AA$343)</f>
        <v>0</v>
      </c>
      <c r="P22" s="171"/>
      <c r="Q22" s="171"/>
      <c r="R22" s="171"/>
    </row>
    <row r="23" spans="1:18" ht="18" customHeight="1" x14ac:dyDescent="0.2">
      <c r="A23" s="325">
        <f t="shared" si="2"/>
        <v>327</v>
      </c>
      <c r="B23" s="878"/>
      <c r="C23" s="326">
        <v>1</v>
      </c>
      <c r="D23" s="327">
        <f>LOOKUP(C23,Cities!A$3:A$343,Cities!B$3:B$343)</f>
        <v>0</v>
      </c>
      <c r="E23" s="332"/>
      <c r="F23" s="332"/>
      <c r="G23" s="331">
        <f t="shared" si="0"/>
        <v>0</v>
      </c>
      <c r="H23" s="914" t="str">
        <f t="shared" si="1"/>
        <v>n/a</v>
      </c>
      <c r="I23" s="332"/>
      <c r="J23" s="914" t="str">
        <f>IF(Overflow!K$6&gt;0,ROUND(I23/Overflow!K$6,6),"n/a")</f>
        <v>n/a</v>
      </c>
      <c r="K23" s="332"/>
      <c r="L23" s="914" t="str">
        <f>IF(Overflow!K$8&gt;0,ROUND(K23/Overflow!K$8,6),"n/a")</f>
        <v>n/a</v>
      </c>
      <c r="M23" s="330">
        <f>IF(Overflow!G$8+Overflow!K$6+Overflow!K$8=0,0,ROUND((IF(H23="n/a",0,H23)+IF(J23="n/a",0,J23)+IF(L23="n/a",0,L23))/N$9,6))</f>
        <v>0</v>
      </c>
      <c r="O23" s="785">
        <f>LOOKUP(C23,Cities!A$3:A$343,Cities!AA$3:AA$343)</f>
        <v>0</v>
      </c>
      <c r="P23" s="171"/>
      <c r="Q23" s="171"/>
      <c r="R23" s="171"/>
    </row>
    <row r="24" spans="1:18" ht="18" customHeight="1" x14ac:dyDescent="0.2">
      <c r="A24" s="325">
        <f t="shared" si="2"/>
        <v>328</v>
      </c>
      <c r="B24" s="878"/>
      <c r="C24" s="326">
        <v>1</v>
      </c>
      <c r="D24" s="327">
        <f>LOOKUP(C24,Cities!A$3:A$343,Cities!B$3:B$343)</f>
        <v>0</v>
      </c>
      <c r="E24" s="332"/>
      <c r="F24" s="332"/>
      <c r="G24" s="331">
        <f t="shared" si="0"/>
        <v>0</v>
      </c>
      <c r="H24" s="914" t="str">
        <f t="shared" si="1"/>
        <v>n/a</v>
      </c>
      <c r="I24" s="332"/>
      <c r="J24" s="914" t="str">
        <f>IF(Overflow!K$6&gt;0,ROUND(I24/Overflow!K$6,6),"n/a")</f>
        <v>n/a</v>
      </c>
      <c r="K24" s="332"/>
      <c r="L24" s="914" t="str">
        <f>IF(Overflow!K$8&gt;0,ROUND(K24/Overflow!K$8,6),"n/a")</f>
        <v>n/a</v>
      </c>
      <c r="M24" s="330">
        <f>IF(Overflow!G$8+Overflow!K$6+Overflow!K$8=0,0,ROUND((IF(H24="n/a",0,H24)+IF(J24="n/a",0,J24)+IF(L24="n/a",0,L24))/N$9,6))</f>
        <v>0</v>
      </c>
      <c r="O24" s="785">
        <f>LOOKUP(C24,Cities!A$3:A$343,Cities!AA$3:AA$343)</f>
        <v>0</v>
      </c>
      <c r="P24" s="171"/>
      <c r="Q24" s="171"/>
      <c r="R24" s="171"/>
    </row>
    <row r="25" spans="1:18" ht="18" customHeight="1" x14ac:dyDescent="0.2">
      <c r="A25" s="325">
        <f t="shared" si="2"/>
        <v>329</v>
      </c>
      <c r="B25" s="878"/>
      <c r="C25" s="326">
        <v>1</v>
      </c>
      <c r="D25" s="327">
        <f>LOOKUP(C25,Cities!A$3:A$343,Cities!B$3:B$343)</f>
        <v>0</v>
      </c>
      <c r="E25" s="332"/>
      <c r="F25" s="332"/>
      <c r="G25" s="331">
        <f t="shared" si="0"/>
        <v>0</v>
      </c>
      <c r="H25" s="914" t="str">
        <f t="shared" si="1"/>
        <v>n/a</v>
      </c>
      <c r="I25" s="332"/>
      <c r="J25" s="914" t="str">
        <f>IF(Overflow!K$6&gt;0,ROUND(I25/Overflow!K$6,6),"n/a")</f>
        <v>n/a</v>
      </c>
      <c r="K25" s="332"/>
      <c r="L25" s="914" t="str">
        <f>IF(Overflow!K$8&gt;0,ROUND(K25/Overflow!K$8,6),"n/a")</f>
        <v>n/a</v>
      </c>
      <c r="M25" s="330">
        <f>IF(Overflow!G$8+Overflow!K$6+Overflow!K$8=0,0,ROUND((IF(H25="n/a",0,H25)+IF(J25="n/a",0,J25)+IF(L25="n/a",0,L25))/N$9,6))</f>
        <v>0</v>
      </c>
      <c r="O25" s="785">
        <f>LOOKUP(C25,Cities!A$3:A$343,Cities!AA$3:AA$343)</f>
        <v>0</v>
      </c>
      <c r="P25" s="171"/>
      <c r="Q25" s="171"/>
      <c r="R25" s="171"/>
    </row>
    <row r="26" spans="1:18" ht="18" customHeight="1" x14ac:dyDescent="0.2">
      <c r="A26" s="325">
        <f t="shared" si="2"/>
        <v>330</v>
      </c>
      <c r="B26" s="878"/>
      <c r="C26" s="326">
        <v>1</v>
      </c>
      <c r="D26" s="327">
        <f>LOOKUP(C26,Cities!A$3:A$343,Cities!B$3:B$343)</f>
        <v>0</v>
      </c>
      <c r="E26" s="332"/>
      <c r="F26" s="332"/>
      <c r="G26" s="331">
        <f t="shared" si="0"/>
        <v>0</v>
      </c>
      <c r="H26" s="914" t="str">
        <f t="shared" si="1"/>
        <v>n/a</v>
      </c>
      <c r="I26" s="332"/>
      <c r="J26" s="914" t="str">
        <f>IF(Overflow!K$6&gt;0,ROUND(I26/Overflow!K$6,6),"n/a")</f>
        <v>n/a</v>
      </c>
      <c r="K26" s="332"/>
      <c r="L26" s="914" t="str">
        <f>IF(Overflow!K$8&gt;0,ROUND(K26/Overflow!K$8,6),"n/a")</f>
        <v>n/a</v>
      </c>
      <c r="M26" s="330">
        <f>IF(Overflow!G$8+Overflow!K$6+Overflow!K$8=0,0,ROUND((IF(H26="n/a",0,H26)+IF(J26="n/a",0,J26)+IF(L26="n/a",0,L26))/N$9,6))</f>
        <v>0</v>
      </c>
      <c r="O26" s="785">
        <f>LOOKUP(C26,Cities!A$3:A$343,Cities!AA$3:AA$343)</f>
        <v>0</v>
      </c>
      <c r="P26" s="171"/>
      <c r="Q26" s="171"/>
      <c r="R26" s="171"/>
    </row>
    <row r="27" spans="1:18" s="67" customFormat="1" ht="18" customHeight="1" x14ac:dyDescent="0.2">
      <c r="A27" s="325">
        <f t="shared" si="2"/>
        <v>331</v>
      </c>
      <c r="B27" s="878"/>
      <c r="C27" s="326">
        <v>1</v>
      </c>
      <c r="D27" s="327">
        <f>LOOKUP(C27,Cities!A$3:A$343,Cities!B$3:B$343)</f>
        <v>0</v>
      </c>
      <c r="E27" s="332"/>
      <c r="F27" s="332"/>
      <c r="G27" s="331">
        <f t="shared" si="0"/>
        <v>0</v>
      </c>
      <c r="H27" s="914" t="str">
        <f t="shared" si="1"/>
        <v>n/a</v>
      </c>
      <c r="I27" s="332"/>
      <c r="J27" s="914" t="str">
        <f>IF(Overflow!K$6&gt;0,ROUND(I27/Overflow!K$6,6),"n/a")</f>
        <v>n/a</v>
      </c>
      <c r="K27" s="332"/>
      <c r="L27" s="914" t="str">
        <f>IF(Overflow!K$8&gt;0,ROUND(K27/Overflow!K$8,6),"n/a")</f>
        <v>n/a</v>
      </c>
      <c r="M27" s="330">
        <f>IF(Overflow!G$8+Overflow!K$6+Overflow!K$8=0,0,ROUND((IF(H27="n/a",0,H27)+IF(J27="n/a",0,J27)+IF(L27="n/a",0,L27))/N$9,6))</f>
        <v>0</v>
      </c>
      <c r="O27" s="785">
        <f>LOOKUP(C27,Cities!A$3:A$343,Cities!AA$3:AA$343)</f>
        <v>0</v>
      </c>
      <c r="P27" s="345"/>
      <c r="Q27" s="345"/>
      <c r="R27" s="345"/>
    </row>
    <row r="28" spans="1:18" s="67" customFormat="1" ht="18" customHeight="1" x14ac:dyDescent="0.2">
      <c r="A28" s="325">
        <f t="shared" si="2"/>
        <v>332</v>
      </c>
      <c r="B28" s="878"/>
      <c r="C28" s="326">
        <v>1</v>
      </c>
      <c r="D28" s="327">
        <f>LOOKUP(C28,Cities!A$3:A$343,Cities!B$3:B$343)</f>
        <v>0</v>
      </c>
      <c r="E28" s="332"/>
      <c r="F28" s="332"/>
      <c r="G28" s="331">
        <f t="shared" si="0"/>
        <v>0</v>
      </c>
      <c r="H28" s="914" t="str">
        <f t="shared" si="1"/>
        <v>n/a</v>
      </c>
      <c r="I28" s="332"/>
      <c r="J28" s="914" t="str">
        <f>IF(Overflow!K$6&gt;0,ROUND(I28/Overflow!K$6,6),"n/a")</f>
        <v>n/a</v>
      </c>
      <c r="K28" s="332"/>
      <c r="L28" s="914" t="str">
        <f>IF(Overflow!K$8&gt;0,ROUND(K28/Overflow!K$8,6),"n/a")</f>
        <v>n/a</v>
      </c>
      <c r="M28" s="330">
        <f>IF(Overflow!G$8+Overflow!K$6+Overflow!K$8=0,0,ROUND((IF(H28="n/a",0,H28)+IF(J28="n/a",0,J28)+IF(L28="n/a",0,L28))/N$9,6))</f>
        <v>0</v>
      </c>
      <c r="O28" s="785">
        <f>LOOKUP(C28,Cities!A$3:A$343,Cities!AA$3:AA$343)</f>
        <v>0</v>
      </c>
      <c r="P28" s="345"/>
      <c r="Q28" s="345"/>
      <c r="R28" s="345"/>
    </row>
    <row r="29" spans="1:18" s="67" customFormat="1" ht="18" customHeight="1" x14ac:dyDescent="0.2">
      <c r="A29" s="325">
        <f t="shared" si="2"/>
        <v>333</v>
      </c>
      <c r="B29" s="878"/>
      <c r="C29" s="326">
        <v>1</v>
      </c>
      <c r="D29" s="327">
        <f>LOOKUP(C29,Cities!A$3:A$343,Cities!B$3:B$343)</f>
        <v>0</v>
      </c>
      <c r="E29" s="332"/>
      <c r="F29" s="332"/>
      <c r="G29" s="331">
        <f t="shared" si="0"/>
        <v>0</v>
      </c>
      <c r="H29" s="914" t="str">
        <f t="shared" si="1"/>
        <v>n/a</v>
      </c>
      <c r="I29" s="332"/>
      <c r="J29" s="914" t="str">
        <f>IF(Overflow!K$6&gt;0,ROUND(I29/Overflow!K$6,6),"n/a")</f>
        <v>n/a</v>
      </c>
      <c r="K29" s="332"/>
      <c r="L29" s="914" t="str">
        <f>IF(Overflow!K$8&gt;0,ROUND(K29/Overflow!K$8,6),"n/a")</f>
        <v>n/a</v>
      </c>
      <c r="M29" s="330">
        <f>IF(Overflow!G$8+Overflow!K$6+Overflow!K$8=0,0,ROUND((IF(H29="n/a",0,H29)+IF(J29="n/a",0,J29)+IF(L29="n/a",0,L29))/N$9,6))</f>
        <v>0</v>
      </c>
      <c r="O29" s="785">
        <f>LOOKUP(C29,Cities!A$3:A$343,Cities!AA$3:AA$343)</f>
        <v>0</v>
      </c>
      <c r="P29" s="345"/>
      <c r="Q29" s="345"/>
      <c r="R29" s="345"/>
    </row>
    <row r="30" spans="1:18" s="67" customFormat="1" ht="18" customHeight="1" x14ac:dyDescent="0.2">
      <c r="A30" s="325">
        <f t="shared" si="2"/>
        <v>334</v>
      </c>
      <c r="B30" s="878"/>
      <c r="C30" s="326">
        <v>1</v>
      </c>
      <c r="D30" s="327">
        <f>LOOKUP(C30,Cities!A$3:A$343,Cities!B$3:B$343)</f>
        <v>0</v>
      </c>
      <c r="E30" s="332"/>
      <c r="F30" s="332"/>
      <c r="G30" s="331">
        <f t="shared" si="0"/>
        <v>0</v>
      </c>
      <c r="H30" s="914" t="str">
        <f t="shared" si="1"/>
        <v>n/a</v>
      </c>
      <c r="I30" s="332"/>
      <c r="J30" s="914" t="str">
        <f>IF(Overflow!K$6&gt;0,ROUND(I30/Overflow!K$6,6),"n/a")</f>
        <v>n/a</v>
      </c>
      <c r="K30" s="332"/>
      <c r="L30" s="914" t="str">
        <f>IF(Overflow!K$8&gt;0,ROUND(K30/Overflow!K$8,6),"n/a")</f>
        <v>n/a</v>
      </c>
      <c r="M30" s="330">
        <f>IF(Overflow!G$8+Overflow!K$6+Overflow!K$8=0,0,ROUND((IF(H30="n/a",0,H30)+IF(J30="n/a",0,J30)+IF(L30="n/a",0,L30))/N$9,6))</f>
        <v>0</v>
      </c>
      <c r="O30" s="785">
        <f>LOOKUP(C30,Cities!A$3:A$343,Cities!AA$3:AA$343)</f>
        <v>0</v>
      </c>
      <c r="P30" s="345"/>
      <c r="Q30" s="345"/>
      <c r="R30" s="345"/>
    </row>
    <row r="31" spans="1:18" s="67" customFormat="1" ht="18" customHeight="1" x14ac:dyDescent="0.2">
      <c r="A31" s="325">
        <f t="shared" si="2"/>
        <v>335</v>
      </c>
      <c r="B31" s="878"/>
      <c r="C31" s="326">
        <v>1</v>
      </c>
      <c r="D31" s="327">
        <f>LOOKUP(C31,Cities!A$3:A$343,Cities!B$3:B$343)</f>
        <v>0</v>
      </c>
      <c r="E31" s="332"/>
      <c r="F31" s="332"/>
      <c r="G31" s="331">
        <f t="shared" si="0"/>
        <v>0</v>
      </c>
      <c r="H31" s="914" t="str">
        <f t="shared" si="1"/>
        <v>n/a</v>
      </c>
      <c r="I31" s="332"/>
      <c r="J31" s="914" t="str">
        <f>IF(Overflow!K$6&gt;0,ROUND(I31/Overflow!K$6,6),"n/a")</f>
        <v>n/a</v>
      </c>
      <c r="K31" s="332"/>
      <c r="L31" s="914" t="str">
        <f>IF(Overflow!K$8&gt;0,ROUND(K31/Overflow!K$8,6),"n/a")</f>
        <v>n/a</v>
      </c>
      <c r="M31" s="330">
        <f>IF(Overflow!G$8+Overflow!K$6+Overflow!K$8=0,0,ROUND((IF(H31="n/a",0,H31)+IF(J31="n/a",0,J31)+IF(L31="n/a",0,L31))/N$9,6))</f>
        <v>0</v>
      </c>
      <c r="O31" s="785">
        <f>LOOKUP(C31,Cities!A$3:A$343,Cities!AA$3:AA$343)</f>
        <v>0</v>
      </c>
      <c r="P31" s="345"/>
      <c r="Q31" s="345"/>
      <c r="R31" s="345"/>
    </row>
    <row r="32" spans="1:18" s="67" customFormat="1" ht="18" customHeight="1" x14ac:dyDescent="0.2">
      <c r="A32" s="325">
        <f t="shared" si="2"/>
        <v>336</v>
      </c>
      <c r="B32" s="878"/>
      <c r="C32" s="326">
        <v>1</v>
      </c>
      <c r="D32" s="327">
        <f>LOOKUP(C32,Cities!A$3:A$343,Cities!B$3:B$343)</f>
        <v>0</v>
      </c>
      <c r="E32" s="332"/>
      <c r="F32" s="332"/>
      <c r="G32" s="331">
        <f t="shared" si="0"/>
        <v>0</v>
      </c>
      <c r="H32" s="914" t="str">
        <f t="shared" si="1"/>
        <v>n/a</v>
      </c>
      <c r="I32" s="332"/>
      <c r="J32" s="914" t="str">
        <f>IF(Overflow!K$6&gt;0,ROUND(I32/Overflow!K$6,6),"n/a")</f>
        <v>n/a</v>
      </c>
      <c r="K32" s="332"/>
      <c r="L32" s="914" t="str">
        <f>IF(Overflow!K$8&gt;0,ROUND(K32/Overflow!K$8,6),"n/a")</f>
        <v>n/a</v>
      </c>
      <c r="M32" s="330">
        <f>IF(Overflow!G$8+Overflow!K$6+Overflow!K$8=0,0,ROUND((IF(H32="n/a",0,H32)+IF(J32="n/a",0,J32)+IF(L32="n/a",0,L32))/N$9,6))</f>
        <v>0</v>
      </c>
      <c r="O32" s="785">
        <f>LOOKUP(C32,Cities!A$3:A$343,Cities!AA$3:AA$343)</f>
        <v>0</v>
      </c>
      <c r="P32" s="345"/>
      <c r="Q32" s="345"/>
      <c r="R32" s="345"/>
    </row>
    <row r="33" spans="1:18" s="67" customFormat="1" ht="18" customHeight="1" x14ac:dyDescent="0.2">
      <c r="A33" s="325">
        <f t="shared" si="2"/>
        <v>337</v>
      </c>
      <c r="B33" s="878"/>
      <c r="C33" s="326">
        <v>1</v>
      </c>
      <c r="D33" s="327">
        <f>LOOKUP(C33,Cities!A$3:A$343,Cities!B$3:B$343)</f>
        <v>0</v>
      </c>
      <c r="E33" s="332"/>
      <c r="F33" s="332"/>
      <c r="G33" s="331">
        <f t="shared" si="0"/>
        <v>0</v>
      </c>
      <c r="H33" s="914" t="str">
        <f t="shared" si="1"/>
        <v>n/a</v>
      </c>
      <c r="I33" s="332"/>
      <c r="J33" s="914" t="str">
        <f>IF(Overflow!K$6&gt;0,ROUND(I33/Overflow!K$6,6),"n/a")</f>
        <v>n/a</v>
      </c>
      <c r="K33" s="332"/>
      <c r="L33" s="914" t="str">
        <f>IF(Overflow!K$8&gt;0,ROUND(K33/Overflow!K$8,6),"n/a")</f>
        <v>n/a</v>
      </c>
      <c r="M33" s="330">
        <f>IF(Overflow!G$8+Overflow!K$6+Overflow!K$8=0,0,ROUND((IF(H33="n/a",0,H33)+IF(J33="n/a",0,J33)+IF(L33="n/a",0,L33))/N$9,6))</f>
        <v>0</v>
      </c>
      <c r="O33" s="785">
        <f>LOOKUP(C33,Cities!A$3:A$343,Cities!AA$3:AA$343)</f>
        <v>0</v>
      </c>
      <c r="P33" s="345"/>
      <c r="Q33" s="345"/>
      <c r="R33" s="345"/>
    </row>
    <row r="34" spans="1:18" s="67" customFormat="1" ht="18" customHeight="1" x14ac:dyDescent="0.2">
      <c r="A34" s="325">
        <f t="shared" si="2"/>
        <v>338</v>
      </c>
      <c r="B34" s="878"/>
      <c r="C34" s="326">
        <v>1</v>
      </c>
      <c r="D34" s="327">
        <f>LOOKUP(C34,Cities!A$3:A$343,Cities!B$3:B$343)</f>
        <v>0</v>
      </c>
      <c r="E34" s="332"/>
      <c r="F34" s="332"/>
      <c r="G34" s="331">
        <f t="shared" si="0"/>
        <v>0</v>
      </c>
      <c r="H34" s="914" t="str">
        <f t="shared" si="1"/>
        <v>n/a</v>
      </c>
      <c r="I34" s="332"/>
      <c r="J34" s="914" t="str">
        <f>IF(Overflow!K$6&gt;0,ROUND(I34/Overflow!K$6,6),"n/a")</f>
        <v>n/a</v>
      </c>
      <c r="K34" s="332"/>
      <c r="L34" s="914" t="str">
        <f>IF(Overflow!K$8&gt;0,ROUND(K34/Overflow!K$8,6),"n/a")</f>
        <v>n/a</v>
      </c>
      <c r="M34" s="330">
        <f>IF(Overflow!G$8+Overflow!K$6+Overflow!K$8=0,0,ROUND((IF(H34="n/a",0,H34)+IF(J34="n/a",0,J34)+IF(L34="n/a",0,L34))/N$9,6))</f>
        <v>0</v>
      </c>
      <c r="O34" s="785">
        <f>LOOKUP(C34,Cities!A$3:A$343,Cities!AA$3:AA$343)</f>
        <v>0</v>
      </c>
      <c r="P34" s="345"/>
      <c r="Q34" s="345"/>
      <c r="R34" s="345"/>
    </row>
    <row r="35" spans="1:18" s="67" customFormat="1" ht="18" customHeight="1" x14ac:dyDescent="0.2">
      <c r="A35" s="325">
        <f t="shared" si="2"/>
        <v>339</v>
      </c>
      <c r="B35" s="878"/>
      <c r="C35" s="326">
        <v>1</v>
      </c>
      <c r="D35" s="327">
        <f>LOOKUP(C35,Cities!A$3:A$343,Cities!B$3:B$343)</f>
        <v>0</v>
      </c>
      <c r="E35" s="332"/>
      <c r="F35" s="332"/>
      <c r="G35" s="331">
        <f t="shared" si="0"/>
        <v>0</v>
      </c>
      <c r="H35" s="914" t="str">
        <f t="shared" si="1"/>
        <v>n/a</v>
      </c>
      <c r="I35" s="332"/>
      <c r="J35" s="914" t="str">
        <f>IF(Overflow!K$6&gt;0,ROUND(I35/Overflow!K$6,6),"n/a")</f>
        <v>n/a</v>
      </c>
      <c r="K35" s="332"/>
      <c r="L35" s="914" t="str">
        <f>IF(Overflow!K$8&gt;0,ROUND(K35/Overflow!K$8,6),"n/a")</f>
        <v>n/a</v>
      </c>
      <c r="M35" s="330">
        <f>IF(Overflow!G$8+Overflow!K$6+Overflow!K$8=0,0,ROUND((IF(H35="n/a",0,H35)+IF(J35="n/a",0,J35)+IF(L35="n/a",0,L35))/N$9,6))</f>
        <v>0</v>
      </c>
      <c r="O35" s="785">
        <f>LOOKUP(C35,Cities!A$3:A$343,Cities!AA$3:AA$343)</f>
        <v>0</v>
      </c>
      <c r="P35" s="345"/>
      <c r="Q35" s="345"/>
      <c r="R35" s="345"/>
    </row>
    <row r="36" spans="1:18" s="67" customFormat="1" ht="18" customHeight="1" x14ac:dyDescent="0.2">
      <c r="A36" s="325">
        <f t="shared" si="2"/>
        <v>340</v>
      </c>
      <c r="B36" s="878"/>
      <c r="C36" s="326">
        <v>1</v>
      </c>
      <c r="D36" s="327">
        <f>LOOKUP(C36,Cities!A$3:A$343,Cities!B$3:B$343)</f>
        <v>0</v>
      </c>
      <c r="E36" s="332"/>
      <c r="F36" s="332"/>
      <c r="G36" s="331">
        <f t="shared" si="0"/>
        <v>0</v>
      </c>
      <c r="H36" s="914" t="str">
        <f t="shared" si="1"/>
        <v>n/a</v>
      </c>
      <c r="I36" s="332"/>
      <c r="J36" s="914" t="str">
        <f>IF(Overflow!K$6&gt;0,ROUND(I36/Overflow!K$6,6),"n/a")</f>
        <v>n/a</v>
      </c>
      <c r="K36" s="332"/>
      <c r="L36" s="914" t="str">
        <f>IF(Overflow!K$8&gt;0,ROUND(K36/Overflow!K$8,6),"n/a")</f>
        <v>n/a</v>
      </c>
      <c r="M36" s="330">
        <f>IF(Overflow!G$8+Overflow!K$6+Overflow!K$8=0,0,ROUND((IF(H36="n/a",0,H36)+IF(J36="n/a",0,J36)+IF(L36="n/a",0,L36))/N$9,6))</f>
        <v>0</v>
      </c>
      <c r="O36" s="785">
        <f>LOOKUP(C36,Cities!A$3:A$343,Cities!AA$3:AA$343)</f>
        <v>0</v>
      </c>
      <c r="P36" s="345"/>
      <c r="Q36" s="345"/>
      <c r="R36" s="345"/>
    </row>
    <row r="37" spans="1:18" s="67" customFormat="1" ht="18" customHeight="1" x14ac:dyDescent="0.2">
      <c r="A37" s="325">
        <f t="shared" si="2"/>
        <v>341</v>
      </c>
      <c r="B37" s="878"/>
      <c r="C37" s="326">
        <v>1</v>
      </c>
      <c r="D37" s="327">
        <f>LOOKUP(C37,Cities!A$3:A$343,Cities!B$3:B$343)</f>
        <v>0</v>
      </c>
      <c r="E37" s="332"/>
      <c r="F37" s="332"/>
      <c r="G37" s="331">
        <f t="shared" si="0"/>
        <v>0</v>
      </c>
      <c r="H37" s="914" t="str">
        <f t="shared" si="1"/>
        <v>n/a</v>
      </c>
      <c r="I37" s="332"/>
      <c r="J37" s="914" t="str">
        <f>IF(Overflow!K$6&gt;0,ROUND(I37/Overflow!K$6,6),"n/a")</f>
        <v>n/a</v>
      </c>
      <c r="K37" s="332"/>
      <c r="L37" s="914" t="str">
        <f>IF(Overflow!K$8&gt;0,ROUND(K37/Overflow!K$8,6),"n/a")</f>
        <v>n/a</v>
      </c>
      <c r="M37" s="330">
        <f>IF(Overflow!G$8+Overflow!K$6+Overflow!K$8=0,0,ROUND((IF(H37="n/a",0,H37)+IF(J37="n/a",0,J37)+IF(L37="n/a",0,L37))/N$9,6))</f>
        <v>0</v>
      </c>
      <c r="O37" s="785">
        <f>LOOKUP(C37,Cities!A$3:A$343,Cities!AA$3:AA$343)</f>
        <v>0</v>
      </c>
      <c r="P37" s="345"/>
      <c r="Q37" s="345"/>
      <c r="R37" s="345"/>
    </row>
    <row r="38" spans="1:18" s="67" customFormat="1" ht="18" customHeight="1" x14ac:dyDescent="0.2">
      <c r="A38" s="325">
        <f t="shared" si="2"/>
        <v>342</v>
      </c>
      <c r="B38" s="878"/>
      <c r="C38" s="326">
        <v>1</v>
      </c>
      <c r="D38" s="327">
        <f>LOOKUP(C38,Cities!A$3:A$343,Cities!B$3:B$343)</f>
        <v>0</v>
      </c>
      <c r="E38" s="332"/>
      <c r="F38" s="332"/>
      <c r="G38" s="331">
        <f t="shared" si="0"/>
        <v>0</v>
      </c>
      <c r="H38" s="914" t="str">
        <f t="shared" si="1"/>
        <v>n/a</v>
      </c>
      <c r="I38" s="332"/>
      <c r="J38" s="914" t="str">
        <f>IF(Overflow!K$6&gt;0,ROUND(I38/Overflow!K$6,6),"n/a")</f>
        <v>n/a</v>
      </c>
      <c r="K38" s="332"/>
      <c r="L38" s="914" t="str">
        <f>IF(Overflow!K$8&gt;0,ROUND(K38/Overflow!K$8,6),"n/a")</f>
        <v>n/a</v>
      </c>
      <c r="M38" s="330">
        <f>IF(Overflow!G$8+Overflow!K$6+Overflow!K$8=0,0,ROUND((IF(H38="n/a",0,H38)+IF(J38="n/a",0,J38)+IF(L38="n/a",0,L38))/N$9,6))</f>
        <v>0</v>
      </c>
      <c r="O38" s="785">
        <f>LOOKUP(C38,Cities!A$3:A$343,Cities!AA$3:AA$343)</f>
        <v>0</v>
      </c>
      <c r="P38" s="345"/>
      <c r="Q38" s="345"/>
      <c r="R38" s="345"/>
    </row>
    <row r="39" spans="1:18" s="67" customFormat="1" ht="18" customHeight="1" x14ac:dyDescent="0.2">
      <c r="A39" s="325">
        <f t="shared" si="2"/>
        <v>343</v>
      </c>
      <c r="B39" s="878"/>
      <c r="C39" s="326">
        <v>1</v>
      </c>
      <c r="D39" s="327">
        <f>LOOKUP(C39,Cities!A$3:A$343,Cities!B$3:B$343)</f>
        <v>0</v>
      </c>
      <c r="E39" s="332"/>
      <c r="F39" s="332"/>
      <c r="G39" s="331">
        <f t="shared" si="0"/>
        <v>0</v>
      </c>
      <c r="H39" s="914" t="str">
        <f t="shared" si="1"/>
        <v>n/a</v>
      </c>
      <c r="I39" s="332"/>
      <c r="J39" s="914" t="str">
        <f>IF(Overflow!K$6&gt;0,ROUND(I39/Overflow!K$6,6),"n/a")</f>
        <v>n/a</v>
      </c>
      <c r="K39" s="332"/>
      <c r="L39" s="914" t="str">
        <f>IF(Overflow!K$8&gt;0,ROUND(K39/Overflow!K$8,6),"n/a")</f>
        <v>n/a</v>
      </c>
      <c r="M39" s="330">
        <f>IF(Overflow!G$8+Overflow!K$6+Overflow!K$8=0,0,ROUND((IF(H39="n/a",0,H39)+IF(J39="n/a",0,J39)+IF(L39="n/a",0,L39))/N$9,6))</f>
        <v>0</v>
      </c>
      <c r="O39" s="785">
        <f>LOOKUP(C39,Cities!A$3:A$343,Cities!AA$3:AA$343)</f>
        <v>0</v>
      </c>
      <c r="P39" s="345"/>
      <c r="Q39" s="345"/>
      <c r="R39" s="345"/>
    </row>
    <row r="40" spans="1:18" s="67" customFormat="1" ht="18" customHeight="1" x14ac:dyDescent="0.2">
      <c r="A40" s="325">
        <f t="shared" si="2"/>
        <v>344</v>
      </c>
      <c r="B40" s="878"/>
      <c r="C40" s="326">
        <v>1</v>
      </c>
      <c r="D40" s="327">
        <f>LOOKUP(C40,Cities!A$3:A$343,Cities!B$3:B$343)</f>
        <v>0</v>
      </c>
      <c r="E40" s="332"/>
      <c r="F40" s="332"/>
      <c r="G40" s="331">
        <f t="shared" si="0"/>
        <v>0</v>
      </c>
      <c r="H40" s="914" t="str">
        <f t="shared" si="1"/>
        <v>n/a</v>
      </c>
      <c r="I40" s="332"/>
      <c r="J40" s="914" t="str">
        <f>IF(Overflow!K$6&gt;0,ROUND(I40/Overflow!K$6,6),"n/a")</f>
        <v>n/a</v>
      </c>
      <c r="K40" s="332"/>
      <c r="L40" s="914" t="str">
        <f>IF(Overflow!K$8&gt;0,ROUND(K40/Overflow!K$8,6),"n/a")</f>
        <v>n/a</v>
      </c>
      <c r="M40" s="330">
        <f>IF(Overflow!G$8+Overflow!K$6+Overflow!K$8=0,0,ROUND((IF(H40="n/a",0,H40)+IF(J40="n/a",0,J40)+IF(L40="n/a",0,L40))/N$9,6))</f>
        <v>0</v>
      </c>
      <c r="O40" s="785">
        <f>LOOKUP(C40,Cities!A$3:A$343,Cities!AA$3:AA$343)</f>
        <v>0</v>
      </c>
      <c r="P40" s="345"/>
      <c r="Q40" s="345"/>
      <c r="R40" s="345"/>
    </row>
    <row r="41" spans="1:18" s="67" customFormat="1" ht="18" customHeight="1" x14ac:dyDescent="0.2">
      <c r="A41" s="325">
        <f t="shared" si="2"/>
        <v>345</v>
      </c>
      <c r="B41" s="878"/>
      <c r="C41" s="326">
        <v>1</v>
      </c>
      <c r="D41" s="327">
        <f>LOOKUP(C41,Cities!A$3:A$343,Cities!B$3:B$343)</f>
        <v>0</v>
      </c>
      <c r="E41" s="332"/>
      <c r="F41" s="332"/>
      <c r="G41" s="331">
        <f t="shared" si="0"/>
        <v>0</v>
      </c>
      <c r="H41" s="914" t="str">
        <f t="shared" si="1"/>
        <v>n/a</v>
      </c>
      <c r="I41" s="332"/>
      <c r="J41" s="914" t="str">
        <f>IF(Overflow!K$6&gt;0,ROUND(I41/Overflow!K$6,6),"n/a")</f>
        <v>n/a</v>
      </c>
      <c r="K41" s="332"/>
      <c r="L41" s="914" t="str">
        <f>IF(Overflow!K$8&gt;0,ROUND(K41/Overflow!K$8,6),"n/a")</f>
        <v>n/a</v>
      </c>
      <c r="M41" s="330">
        <f>IF(Overflow!G$8+Overflow!K$6+Overflow!K$8=0,0,ROUND((IF(H41="n/a",0,H41)+IF(J41="n/a",0,J41)+IF(L41="n/a",0,L41))/N$9,6))</f>
        <v>0</v>
      </c>
      <c r="O41" s="785">
        <f>LOOKUP(C41,Cities!A$3:A$343,Cities!AA$3:AA$343)</f>
        <v>0</v>
      </c>
      <c r="P41" s="345"/>
      <c r="Q41" s="345"/>
      <c r="R41" s="345"/>
    </row>
    <row r="42" spans="1:18" s="67" customFormat="1" ht="18" customHeight="1" x14ac:dyDescent="0.2">
      <c r="A42" s="325">
        <f t="shared" si="2"/>
        <v>346</v>
      </c>
      <c r="B42" s="878"/>
      <c r="C42" s="326">
        <v>1</v>
      </c>
      <c r="D42" s="327">
        <f>LOOKUP(C42,Cities!A$3:A$343,Cities!B$3:B$343)</f>
        <v>0</v>
      </c>
      <c r="E42" s="332"/>
      <c r="F42" s="332"/>
      <c r="G42" s="331">
        <f t="shared" si="0"/>
        <v>0</v>
      </c>
      <c r="H42" s="914" t="str">
        <f t="shared" si="1"/>
        <v>n/a</v>
      </c>
      <c r="I42" s="332"/>
      <c r="J42" s="914" t="str">
        <f>IF(Overflow!K$6&gt;0,ROUND(I42/Overflow!K$6,6),"n/a")</f>
        <v>n/a</v>
      </c>
      <c r="K42" s="332"/>
      <c r="L42" s="914" t="str">
        <f>IF(Overflow!K$8&gt;0,ROUND(K42/Overflow!K$8,6),"n/a")</f>
        <v>n/a</v>
      </c>
      <c r="M42" s="330">
        <f>IF(Overflow!G$8+Overflow!K$6+Overflow!K$8=0,0,ROUND((IF(H42="n/a",0,H42)+IF(J42="n/a",0,J42)+IF(L42="n/a",0,L42))/N$9,6))</f>
        <v>0</v>
      </c>
      <c r="O42" s="785">
        <f>LOOKUP(C42,Cities!A$3:A$343,Cities!AA$3:AA$343)</f>
        <v>0</v>
      </c>
      <c r="P42" s="345"/>
      <c r="Q42" s="345"/>
      <c r="R42" s="345"/>
    </row>
    <row r="43" spans="1:18" s="67" customFormat="1" ht="18" customHeight="1" x14ac:dyDescent="0.2">
      <c r="A43" s="325">
        <f t="shared" si="2"/>
        <v>347</v>
      </c>
      <c r="B43" s="878"/>
      <c r="C43" s="326">
        <v>1</v>
      </c>
      <c r="D43" s="327">
        <f>LOOKUP(C43,Cities!A$3:A$343,Cities!B$3:B$343)</f>
        <v>0</v>
      </c>
      <c r="E43" s="332"/>
      <c r="F43" s="332"/>
      <c r="G43" s="331">
        <f t="shared" si="0"/>
        <v>0</v>
      </c>
      <c r="H43" s="914" t="str">
        <f t="shared" si="1"/>
        <v>n/a</v>
      </c>
      <c r="I43" s="332"/>
      <c r="J43" s="914" t="str">
        <f>IF(Overflow!K$6&gt;0,ROUND(I43/Overflow!K$6,6),"n/a")</f>
        <v>n/a</v>
      </c>
      <c r="K43" s="332"/>
      <c r="L43" s="914" t="str">
        <f>IF(Overflow!K$8&gt;0,ROUND(K43/Overflow!K$8,6),"n/a")</f>
        <v>n/a</v>
      </c>
      <c r="M43" s="330">
        <f>IF(Overflow!G$8+Overflow!K$6+Overflow!K$8=0,0,ROUND((IF(H43="n/a",0,H43)+IF(J43="n/a",0,J43)+IF(L43="n/a",0,L43))/N$9,6))</f>
        <v>0</v>
      </c>
      <c r="O43" s="785">
        <f>LOOKUP(C43,Cities!A$3:A$343,Cities!AA$3:AA$343)</f>
        <v>0</v>
      </c>
      <c r="P43" s="345"/>
      <c r="Q43" s="345"/>
      <c r="R43" s="345"/>
    </row>
    <row r="44" spans="1:18" s="67" customFormat="1" ht="18" customHeight="1" x14ac:dyDescent="0.2">
      <c r="A44" s="325">
        <f t="shared" si="2"/>
        <v>348</v>
      </c>
      <c r="B44" s="878"/>
      <c r="C44" s="326">
        <v>1</v>
      </c>
      <c r="D44" s="327">
        <f>LOOKUP(C44,Cities!A$3:A$343,Cities!B$3:B$343)</f>
        <v>0</v>
      </c>
      <c r="E44" s="332"/>
      <c r="F44" s="332"/>
      <c r="G44" s="331">
        <f t="shared" si="0"/>
        <v>0</v>
      </c>
      <c r="H44" s="914" t="str">
        <f t="shared" si="1"/>
        <v>n/a</v>
      </c>
      <c r="I44" s="332"/>
      <c r="J44" s="914" t="str">
        <f>IF(Overflow!K$6&gt;0,ROUND(I44/Overflow!K$6,6),"n/a")</f>
        <v>n/a</v>
      </c>
      <c r="K44" s="332"/>
      <c r="L44" s="914" t="str">
        <f>IF(Overflow!K$8&gt;0,ROUND(K44/Overflow!K$8,6),"n/a")</f>
        <v>n/a</v>
      </c>
      <c r="M44" s="330">
        <f>IF(Overflow!G$8+Overflow!K$6+Overflow!K$8=0,0,ROUND((IF(H44="n/a",0,H44)+IF(J44="n/a",0,J44)+IF(L44="n/a",0,L44))/N$9,6))</f>
        <v>0</v>
      </c>
      <c r="O44" s="785">
        <f>LOOKUP(C44,Cities!A$3:A$343,Cities!AA$3:AA$343)</f>
        <v>0</v>
      </c>
      <c r="P44" s="345"/>
      <c r="Q44" s="345"/>
      <c r="R44" s="345"/>
    </row>
    <row r="45" spans="1:18" s="67" customFormat="1" ht="18" customHeight="1" x14ac:dyDescent="0.2">
      <c r="A45" s="325">
        <f t="shared" si="2"/>
        <v>349</v>
      </c>
      <c r="B45" s="878"/>
      <c r="C45" s="326">
        <v>1</v>
      </c>
      <c r="D45" s="327">
        <f>LOOKUP(C45,Cities!A$3:A$343,Cities!B$3:B$343)</f>
        <v>0</v>
      </c>
      <c r="E45" s="332"/>
      <c r="F45" s="332"/>
      <c r="G45" s="331">
        <f t="shared" si="0"/>
        <v>0</v>
      </c>
      <c r="H45" s="914" t="str">
        <f t="shared" si="1"/>
        <v>n/a</v>
      </c>
      <c r="I45" s="332"/>
      <c r="J45" s="914" t="str">
        <f>IF(Overflow!K$6&gt;0,ROUND(I45/Overflow!K$6,6),"n/a")</f>
        <v>n/a</v>
      </c>
      <c r="K45" s="332"/>
      <c r="L45" s="914" t="str">
        <f>IF(Overflow!K$8&gt;0,ROUND(K45/Overflow!K$8,6),"n/a")</f>
        <v>n/a</v>
      </c>
      <c r="M45" s="330">
        <f>IF(Overflow!G$8+Overflow!K$6+Overflow!K$8=0,0,ROUND((IF(H45="n/a",0,H45)+IF(J45="n/a",0,J45)+IF(L45="n/a",0,L45))/N$9,6))</f>
        <v>0</v>
      </c>
      <c r="O45" s="785">
        <f>LOOKUP(C45,Cities!A$3:A$343,Cities!AA$3:AA$343)</f>
        <v>0</v>
      </c>
      <c r="P45" s="345"/>
      <c r="Q45" s="345"/>
      <c r="R45" s="345"/>
    </row>
    <row r="46" spans="1:18" s="67" customFormat="1" ht="18" customHeight="1" x14ac:dyDescent="0.2">
      <c r="A46" s="325">
        <f t="shared" si="2"/>
        <v>350</v>
      </c>
      <c r="B46" s="878"/>
      <c r="C46" s="326">
        <v>1</v>
      </c>
      <c r="D46" s="327">
        <f>LOOKUP(C46,Cities!A$3:A$343,Cities!B$3:B$343)</f>
        <v>0</v>
      </c>
      <c r="E46" s="332"/>
      <c r="F46" s="332"/>
      <c r="G46" s="331">
        <f t="shared" si="0"/>
        <v>0</v>
      </c>
      <c r="H46" s="914" t="str">
        <f t="shared" si="1"/>
        <v>n/a</v>
      </c>
      <c r="I46" s="332"/>
      <c r="J46" s="914" t="str">
        <f>IF(Overflow!K$6&gt;0,ROUND(I46/Overflow!K$6,6),"n/a")</f>
        <v>n/a</v>
      </c>
      <c r="K46" s="332"/>
      <c r="L46" s="914" t="str">
        <f>IF(Overflow!K$8&gt;0,ROUND(K46/Overflow!K$8,6),"n/a")</f>
        <v>n/a</v>
      </c>
      <c r="M46" s="330">
        <f>IF(Overflow!G$8+Overflow!K$6+Overflow!K$8=0,0,ROUND((IF(H46="n/a",0,H46)+IF(J46="n/a",0,J46)+IF(L46="n/a",0,L46))/N$9,6))</f>
        <v>0</v>
      </c>
      <c r="O46" s="785">
        <f>LOOKUP(C46,Cities!A$3:A$343,Cities!AA$3:AA$343)</f>
        <v>0</v>
      </c>
      <c r="P46" s="345"/>
      <c r="Q46" s="345"/>
      <c r="R46" s="345"/>
    </row>
    <row r="47" spans="1:18" s="67" customFormat="1" ht="18" customHeight="1" x14ac:dyDescent="0.2">
      <c r="A47" s="325">
        <f t="shared" si="2"/>
        <v>351</v>
      </c>
      <c r="B47" s="878"/>
      <c r="C47" s="326">
        <v>1</v>
      </c>
      <c r="D47" s="327">
        <f>LOOKUP(C47,Cities!A$3:A$343,Cities!B$3:B$343)</f>
        <v>0</v>
      </c>
      <c r="E47" s="332"/>
      <c r="F47" s="332"/>
      <c r="G47" s="331">
        <f t="shared" si="0"/>
        <v>0</v>
      </c>
      <c r="H47" s="914" t="str">
        <f t="shared" si="1"/>
        <v>n/a</v>
      </c>
      <c r="I47" s="332"/>
      <c r="J47" s="914" t="str">
        <f>IF(Overflow!K$6&gt;0,ROUND(I47/Overflow!K$6,6),"n/a")</f>
        <v>n/a</v>
      </c>
      <c r="K47" s="332"/>
      <c r="L47" s="914" t="str">
        <f>IF(Overflow!K$8&gt;0,ROUND(K47/Overflow!K$8,6),"n/a")</f>
        <v>n/a</v>
      </c>
      <c r="M47" s="330">
        <f>IF(Overflow!G$8+Overflow!K$6+Overflow!K$8=0,0,ROUND((IF(H47="n/a",0,H47)+IF(J47="n/a",0,J47)+IF(L47="n/a",0,L47))/N$9,6))</f>
        <v>0</v>
      </c>
      <c r="O47" s="785">
        <f>LOOKUP(C47,Cities!A$3:A$343,Cities!AA$3:AA$343)</f>
        <v>0</v>
      </c>
      <c r="P47" s="345"/>
      <c r="Q47" s="345"/>
      <c r="R47" s="345"/>
    </row>
    <row r="48" spans="1:18" s="67" customFormat="1" ht="18" customHeight="1" x14ac:dyDescent="0.2">
      <c r="A48" s="325">
        <f t="shared" si="2"/>
        <v>352</v>
      </c>
      <c r="B48" s="878"/>
      <c r="C48" s="326">
        <v>1</v>
      </c>
      <c r="D48" s="327">
        <f>LOOKUP(C48,Cities!A$3:A$343,Cities!B$3:B$343)</f>
        <v>0</v>
      </c>
      <c r="E48" s="332"/>
      <c r="F48" s="332"/>
      <c r="G48" s="331">
        <f t="shared" si="0"/>
        <v>0</v>
      </c>
      <c r="H48" s="914" t="str">
        <f t="shared" si="1"/>
        <v>n/a</v>
      </c>
      <c r="I48" s="332"/>
      <c r="J48" s="914" t="str">
        <f>IF(Overflow!K$6&gt;0,ROUND(I48/Overflow!K$6,6),"n/a")</f>
        <v>n/a</v>
      </c>
      <c r="K48" s="332"/>
      <c r="L48" s="914" t="str">
        <f>IF(Overflow!K$8&gt;0,ROUND(K48/Overflow!K$8,6),"n/a")</f>
        <v>n/a</v>
      </c>
      <c r="M48" s="330">
        <f>IF(Overflow!G$8+Overflow!K$6+Overflow!K$8=0,0,ROUND((IF(H48="n/a",0,H48)+IF(J48="n/a",0,J48)+IF(L48="n/a",0,L48))/N$9,6))</f>
        <v>0</v>
      </c>
      <c r="O48" s="785">
        <f>LOOKUP(C48,Cities!A$3:A$343,Cities!AA$3:AA$343)</f>
        <v>0</v>
      </c>
      <c r="P48" s="345"/>
      <c r="Q48" s="345"/>
      <c r="R48" s="345"/>
    </row>
    <row r="49" spans="1:18" s="67" customFormat="1" ht="18" customHeight="1" x14ac:dyDescent="0.2">
      <c r="A49" s="325">
        <f t="shared" si="2"/>
        <v>353</v>
      </c>
      <c r="B49" s="878"/>
      <c r="C49" s="326">
        <v>1</v>
      </c>
      <c r="D49" s="327">
        <f>LOOKUP(C49,Cities!A$3:A$343,Cities!B$3:B$343)</f>
        <v>0</v>
      </c>
      <c r="E49" s="332"/>
      <c r="F49" s="332"/>
      <c r="G49" s="331">
        <f t="shared" si="0"/>
        <v>0</v>
      </c>
      <c r="H49" s="914" t="str">
        <f t="shared" si="1"/>
        <v>n/a</v>
      </c>
      <c r="I49" s="332"/>
      <c r="J49" s="914" t="str">
        <f>IF(Overflow!K$6&gt;0,ROUND(I49/Overflow!K$6,6),"n/a")</f>
        <v>n/a</v>
      </c>
      <c r="K49" s="332"/>
      <c r="L49" s="914" t="str">
        <f>IF(Overflow!K$8&gt;0,ROUND(K49/Overflow!K$8,6),"n/a")</f>
        <v>n/a</v>
      </c>
      <c r="M49" s="330">
        <f>IF(Overflow!G$8+Overflow!K$6+Overflow!K$8=0,0,ROUND((IF(H49="n/a",0,H49)+IF(J49="n/a",0,J49)+IF(L49="n/a",0,L49))/N$9,6))</f>
        <v>0</v>
      </c>
      <c r="O49" s="785">
        <f>LOOKUP(C49,Cities!A$3:A$343,Cities!AA$3:AA$343)</f>
        <v>0</v>
      </c>
      <c r="P49" s="345"/>
      <c r="Q49" s="345"/>
      <c r="R49" s="345"/>
    </row>
    <row r="50" spans="1:18" s="67" customFormat="1" ht="18" customHeight="1" x14ac:dyDescent="0.2">
      <c r="A50" s="325">
        <f t="shared" si="2"/>
        <v>354</v>
      </c>
      <c r="B50" s="878"/>
      <c r="C50" s="326">
        <v>1</v>
      </c>
      <c r="D50" s="327">
        <f>LOOKUP(C50,Cities!A$3:A$343,Cities!B$3:B$343)</f>
        <v>0</v>
      </c>
      <c r="E50" s="332"/>
      <c r="F50" s="332"/>
      <c r="G50" s="331">
        <f t="shared" si="0"/>
        <v>0</v>
      </c>
      <c r="H50" s="914" t="str">
        <f t="shared" si="1"/>
        <v>n/a</v>
      </c>
      <c r="I50" s="332"/>
      <c r="J50" s="914" t="str">
        <f>IF(Overflow!K$6&gt;0,ROUND(I50/Overflow!K$6,6),"n/a")</f>
        <v>n/a</v>
      </c>
      <c r="K50" s="332"/>
      <c r="L50" s="914" t="str">
        <f>IF(Overflow!K$8&gt;0,ROUND(K50/Overflow!K$8,6),"n/a")</f>
        <v>n/a</v>
      </c>
      <c r="M50" s="330">
        <f>IF(Overflow!G$8+Overflow!K$6+Overflow!K$8=0,0,ROUND((IF(H50="n/a",0,H50)+IF(J50="n/a",0,J50)+IF(L50="n/a",0,L50))/N$9,6))</f>
        <v>0</v>
      </c>
      <c r="O50" s="785">
        <f>LOOKUP(C50,Cities!A$3:A$343,Cities!AA$3:AA$343)</f>
        <v>0</v>
      </c>
      <c r="P50" s="345"/>
      <c r="Q50" s="345"/>
      <c r="R50" s="345"/>
    </row>
    <row r="51" spans="1:18" s="67" customFormat="1" ht="18" customHeight="1" x14ac:dyDescent="0.2">
      <c r="A51" s="325">
        <f t="shared" si="2"/>
        <v>355</v>
      </c>
      <c r="B51" s="878"/>
      <c r="C51" s="326">
        <v>1</v>
      </c>
      <c r="D51" s="327">
        <f>LOOKUP(C51,Cities!A$3:A$343,Cities!B$3:B$343)</f>
        <v>0</v>
      </c>
      <c r="E51" s="332"/>
      <c r="F51" s="332"/>
      <c r="G51" s="331">
        <f t="shared" si="0"/>
        <v>0</v>
      </c>
      <c r="H51" s="914" t="str">
        <f t="shared" si="1"/>
        <v>n/a</v>
      </c>
      <c r="I51" s="332"/>
      <c r="J51" s="914" t="str">
        <f>IF(Overflow!K$6&gt;0,ROUND(I51/Overflow!K$6,6),"n/a")</f>
        <v>n/a</v>
      </c>
      <c r="K51" s="332"/>
      <c r="L51" s="914" t="str">
        <f>IF(Overflow!K$8&gt;0,ROUND(K51/Overflow!K$8,6),"n/a")</f>
        <v>n/a</v>
      </c>
      <c r="M51" s="330">
        <f>IF(Overflow!G$8+Overflow!K$6+Overflow!K$8=0,0,ROUND((IF(H51="n/a",0,H51)+IF(J51="n/a",0,J51)+IF(L51="n/a",0,L51))/N$9,6))</f>
        <v>0</v>
      </c>
      <c r="O51" s="785">
        <f>LOOKUP(C51,Cities!A$3:A$343,Cities!AA$3:AA$343)</f>
        <v>0</v>
      </c>
      <c r="P51" s="345"/>
      <c r="Q51" s="345"/>
      <c r="R51" s="345"/>
    </row>
    <row r="52" spans="1:18" s="67" customFormat="1" ht="18" customHeight="1" x14ac:dyDescent="0.2">
      <c r="A52" s="325">
        <f t="shared" si="2"/>
        <v>356</v>
      </c>
      <c r="B52" s="878"/>
      <c r="C52" s="326">
        <v>1</v>
      </c>
      <c r="D52" s="327">
        <f>LOOKUP(C52,Cities!A$3:A$343,Cities!B$3:B$343)</f>
        <v>0</v>
      </c>
      <c r="E52" s="332"/>
      <c r="F52" s="332"/>
      <c r="G52" s="331">
        <f t="shared" si="0"/>
        <v>0</v>
      </c>
      <c r="H52" s="914" t="str">
        <f t="shared" si="1"/>
        <v>n/a</v>
      </c>
      <c r="I52" s="332"/>
      <c r="J52" s="914" t="str">
        <f>IF(Overflow!K$6&gt;0,ROUND(I52/Overflow!K$6,6),"n/a")</f>
        <v>n/a</v>
      </c>
      <c r="K52" s="332"/>
      <c r="L52" s="914" t="str">
        <f>IF(Overflow!K$8&gt;0,ROUND(K52/Overflow!K$8,6),"n/a")</f>
        <v>n/a</v>
      </c>
      <c r="M52" s="330">
        <f>IF(Overflow!G$8+Overflow!K$6+Overflow!K$8=0,0,ROUND((IF(H52="n/a",0,H52)+IF(J52="n/a",0,J52)+IF(L52="n/a",0,L52))/N$9,6))</f>
        <v>0</v>
      </c>
      <c r="O52" s="785">
        <f>LOOKUP(C52,Cities!A$3:A$343,Cities!AA$3:AA$343)</f>
        <v>0</v>
      </c>
      <c r="P52" s="345"/>
      <c r="Q52" s="345"/>
      <c r="R52" s="345"/>
    </row>
    <row r="53" spans="1:18" s="67" customFormat="1" ht="18" customHeight="1" x14ac:dyDescent="0.2">
      <c r="A53" s="325">
        <f t="shared" si="2"/>
        <v>357</v>
      </c>
      <c r="B53" s="878"/>
      <c r="C53" s="326">
        <v>1</v>
      </c>
      <c r="D53" s="327">
        <f>LOOKUP(C53,Cities!A$3:A$343,Cities!B$3:B$343)</f>
        <v>0</v>
      </c>
      <c r="E53" s="332"/>
      <c r="F53" s="332"/>
      <c r="G53" s="331">
        <f t="shared" si="0"/>
        <v>0</v>
      </c>
      <c r="H53" s="914" t="str">
        <f t="shared" si="1"/>
        <v>n/a</v>
      </c>
      <c r="I53" s="332"/>
      <c r="J53" s="914" t="str">
        <f>IF(Overflow!K$6&gt;0,ROUND(I53/Overflow!K$6,6),"n/a")</f>
        <v>n/a</v>
      </c>
      <c r="K53" s="332"/>
      <c r="L53" s="914" t="str">
        <f>IF(Overflow!K$8&gt;0,ROUND(K53/Overflow!K$8,6),"n/a")</f>
        <v>n/a</v>
      </c>
      <c r="M53" s="330">
        <f>IF(Overflow!G$8+Overflow!K$6+Overflow!K$8=0,0,ROUND((IF(H53="n/a",0,H53)+IF(J53="n/a",0,J53)+IF(L53="n/a",0,L53))/N$9,6))</f>
        <v>0</v>
      </c>
      <c r="O53" s="785">
        <f>LOOKUP(C53,Cities!A$3:A$343,Cities!AA$3:AA$343)</f>
        <v>0</v>
      </c>
      <c r="P53" s="345"/>
      <c r="Q53" s="345"/>
      <c r="R53" s="345"/>
    </row>
    <row r="54" spans="1:18" s="67" customFormat="1" ht="18" customHeight="1" x14ac:dyDescent="0.2">
      <c r="A54" s="325">
        <f t="shared" si="2"/>
        <v>358</v>
      </c>
      <c r="B54" s="878"/>
      <c r="C54" s="326">
        <v>1</v>
      </c>
      <c r="D54" s="327">
        <f>LOOKUP(C54,Cities!A$3:A$343,Cities!B$3:B$343)</f>
        <v>0</v>
      </c>
      <c r="E54" s="332"/>
      <c r="F54" s="332"/>
      <c r="G54" s="331">
        <f t="shared" si="0"/>
        <v>0</v>
      </c>
      <c r="H54" s="914" t="str">
        <f t="shared" si="1"/>
        <v>n/a</v>
      </c>
      <c r="I54" s="332"/>
      <c r="J54" s="914" t="str">
        <f>IF(Overflow!K$6&gt;0,ROUND(I54/Overflow!K$6,6),"n/a")</f>
        <v>n/a</v>
      </c>
      <c r="K54" s="332"/>
      <c r="L54" s="914" t="str">
        <f>IF(Overflow!K$8&gt;0,ROUND(K54/Overflow!K$8,6),"n/a")</f>
        <v>n/a</v>
      </c>
      <c r="M54" s="330">
        <f>IF(Overflow!G$8+Overflow!K$6+Overflow!K$8=0,0,ROUND((IF(H54="n/a",0,H54)+IF(J54="n/a",0,J54)+IF(L54="n/a",0,L54))/N$9,6))</f>
        <v>0</v>
      </c>
      <c r="O54" s="785">
        <f>LOOKUP(C54,Cities!A$3:A$343,Cities!AA$3:AA$343)</f>
        <v>0</v>
      </c>
      <c r="P54" s="345"/>
      <c r="Q54" s="345"/>
      <c r="R54" s="345"/>
    </row>
    <row r="55" spans="1:18" s="67" customFormat="1" ht="18" customHeight="1" x14ac:dyDescent="0.2">
      <c r="A55" s="325">
        <f t="shared" si="2"/>
        <v>359</v>
      </c>
      <c r="B55" s="878"/>
      <c r="C55" s="326">
        <v>1</v>
      </c>
      <c r="D55" s="327">
        <f>LOOKUP(C55,Cities!A$3:A$343,Cities!B$3:B$343)</f>
        <v>0</v>
      </c>
      <c r="E55" s="332"/>
      <c r="F55" s="332"/>
      <c r="G55" s="331">
        <f t="shared" si="0"/>
        <v>0</v>
      </c>
      <c r="H55" s="914" t="str">
        <f t="shared" si="1"/>
        <v>n/a</v>
      </c>
      <c r="I55" s="332"/>
      <c r="J55" s="914" t="str">
        <f>IF(Overflow!K$6&gt;0,ROUND(I55/Overflow!K$6,6),"n/a")</f>
        <v>n/a</v>
      </c>
      <c r="K55" s="332"/>
      <c r="L55" s="914" t="str">
        <f>IF(Overflow!K$8&gt;0,ROUND(K55/Overflow!K$8,6),"n/a")</f>
        <v>n/a</v>
      </c>
      <c r="M55" s="330">
        <f>IF(Overflow!G$8+Overflow!K$6+Overflow!K$8=0,0,ROUND((IF(H55="n/a",0,H55)+IF(J55="n/a",0,J55)+IF(L55="n/a",0,L55))/N$9,6))</f>
        <v>0</v>
      </c>
      <c r="O55" s="785">
        <f>LOOKUP(C55,Cities!A$3:A$343,Cities!AA$3:AA$343)</f>
        <v>0</v>
      </c>
      <c r="P55" s="345"/>
      <c r="Q55" s="345"/>
      <c r="R55" s="345"/>
    </row>
    <row r="56" spans="1:18" s="67" customFormat="1" ht="18" customHeight="1" x14ac:dyDescent="0.2">
      <c r="A56" s="325">
        <f t="shared" si="2"/>
        <v>360</v>
      </c>
      <c r="B56" s="878"/>
      <c r="C56" s="326">
        <v>1</v>
      </c>
      <c r="D56" s="327">
        <f>LOOKUP(C56,Cities!A$3:A$343,Cities!B$3:B$343)</f>
        <v>0</v>
      </c>
      <c r="E56" s="332"/>
      <c r="F56" s="332"/>
      <c r="G56" s="331">
        <f t="shared" si="0"/>
        <v>0</v>
      </c>
      <c r="H56" s="914" t="str">
        <f t="shared" si="1"/>
        <v>n/a</v>
      </c>
      <c r="I56" s="332"/>
      <c r="J56" s="914" t="str">
        <f>IF(Overflow!K$6&gt;0,ROUND(I56/Overflow!K$6,6),"n/a")</f>
        <v>n/a</v>
      </c>
      <c r="K56" s="332"/>
      <c r="L56" s="914" t="str">
        <f>IF(Overflow!K$8&gt;0,ROUND(K56/Overflow!K$8,6),"n/a")</f>
        <v>n/a</v>
      </c>
      <c r="M56" s="330">
        <f>IF(Overflow!G$8+Overflow!K$6+Overflow!K$8=0,0,ROUND((IF(H56="n/a",0,H56)+IF(J56="n/a",0,J56)+IF(L56="n/a",0,L56))/N$9,6))</f>
        <v>0</v>
      </c>
      <c r="O56" s="785">
        <f>LOOKUP(C56,Cities!A$3:A$343,Cities!AA$3:AA$343)</f>
        <v>0</v>
      </c>
      <c r="P56" s="345"/>
      <c r="Q56" s="345"/>
      <c r="R56" s="345"/>
    </row>
    <row r="57" spans="1:18" s="67" customFormat="1" ht="18" customHeight="1" x14ac:dyDescent="0.2">
      <c r="M57" s="341">
        <f>SUM(M12:M56)</f>
        <v>0</v>
      </c>
      <c r="O57" s="345"/>
      <c r="P57" s="345"/>
      <c r="Q57" s="345"/>
      <c r="R57" s="345"/>
    </row>
    <row r="58" spans="1:18" s="67" customFormat="1" ht="12.75" customHeight="1" x14ac:dyDescent="0.2">
      <c r="B58" s="851"/>
      <c r="K58" s="1567" t="s">
        <v>1669</v>
      </c>
      <c r="O58" s="345"/>
      <c r="P58" s="345"/>
      <c r="Q58" s="345"/>
      <c r="R58" s="345"/>
    </row>
    <row r="59" spans="1:18" s="1" customFormat="1" ht="30" customHeight="1" x14ac:dyDescent="0.4">
      <c r="A59" s="1372" t="s">
        <v>372</v>
      </c>
      <c r="B59" s="1540"/>
      <c r="C59" s="216"/>
      <c r="D59" s="1541" t="s">
        <v>373</v>
      </c>
      <c r="E59" s="1338"/>
      <c r="F59" s="1338"/>
      <c r="G59" s="1338"/>
      <c r="H59" s="1338"/>
      <c r="I59" s="1338"/>
      <c r="J59" s="1338"/>
      <c r="K59" s="1560"/>
      <c r="L59" s="1380">
        <f>+L1</f>
        <v>2018</v>
      </c>
      <c r="M59" s="1381"/>
      <c r="O59" s="344"/>
      <c r="P59" s="344"/>
      <c r="Q59" s="344"/>
      <c r="R59" s="344"/>
    </row>
    <row r="60" spans="1:18" s="1" customFormat="1" ht="15.75" customHeight="1" x14ac:dyDescent="0.2">
      <c r="A60" s="1545" t="s">
        <v>159</v>
      </c>
      <c r="B60" s="1546"/>
      <c r="C60" s="217"/>
      <c r="D60" s="1557"/>
      <c r="E60" s="1558"/>
      <c r="F60" s="1558"/>
      <c r="G60" s="1558"/>
      <c r="H60" s="1558"/>
      <c r="I60" s="1558"/>
      <c r="J60" s="1558"/>
      <c r="K60" s="878"/>
      <c r="L60" s="1382" t="str">
        <f>+'Complete This Page'!J1</f>
        <v>NPAC v2018.0</v>
      </c>
      <c r="M60" s="1383"/>
      <c r="O60" s="291"/>
      <c r="P60" s="344"/>
      <c r="Q60" s="344"/>
      <c r="R60" s="344"/>
    </row>
    <row r="61" spans="1:18" s="1" customFormat="1" x14ac:dyDescent="0.2">
      <c r="A61" s="1" t="s">
        <v>467</v>
      </c>
      <c r="B61" s="879"/>
      <c r="C61" s="879"/>
      <c r="D61" s="879"/>
      <c r="E61" s="879"/>
      <c r="F61" s="879"/>
      <c r="G61" s="879"/>
      <c r="H61" s="879"/>
      <c r="I61" s="880"/>
      <c r="J61" s="334"/>
      <c r="K61" s="335" t="s">
        <v>466</v>
      </c>
      <c r="O61" s="291"/>
      <c r="P61" s="344"/>
      <c r="Q61" s="344"/>
      <c r="R61" s="344"/>
    </row>
    <row r="62" spans="1:18" s="1" customFormat="1" ht="18" x14ac:dyDescent="0.25">
      <c r="A62" s="881"/>
      <c r="B62" s="1377">
        <f>+B4</f>
        <v>0</v>
      </c>
      <c r="C62" s="1377"/>
      <c r="D62" s="1377"/>
      <c r="E62" s="1377"/>
      <c r="F62" s="1377"/>
      <c r="G62" s="1377"/>
      <c r="H62" s="1377"/>
      <c r="I62" s="1377"/>
      <c r="J62" s="1378"/>
      <c r="K62" s="1350">
        <f>+K4</f>
        <v>0</v>
      </c>
      <c r="L62" s="1351"/>
      <c r="M62" s="1351"/>
      <c r="O62" s="291"/>
      <c r="P62" s="344"/>
      <c r="Q62" s="344"/>
      <c r="R62" s="344"/>
    </row>
    <row r="63" spans="1:18" x14ac:dyDescent="0.2">
      <c r="A63" s="328"/>
      <c r="O63" s="786"/>
      <c r="P63" s="171"/>
      <c r="Q63" s="171"/>
      <c r="R63" s="171"/>
    </row>
    <row r="64" spans="1:18" ht="47.25" customHeight="1" x14ac:dyDescent="0.2">
      <c r="B64" s="322"/>
      <c r="C64" s="1"/>
      <c r="D64" s="1547" t="s">
        <v>588</v>
      </c>
      <c r="E64" s="1547" t="s">
        <v>1684</v>
      </c>
      <c r="F64" s="1547" t="s">
        <v>1690</v>
      </c>
      <c r="G64" s="1553" t="s">
        <v>1685</v>
      </c>
      <c r="H64" s="1554"/>
      <c r="I64" s="1553" t="s">
        <v>1689</v>
      </c>
      <c r="J64" s="1554"/>
      <c r="K64" s="21"/>
      <c r="L64" s="1539"/>
      <c r="M64" s="1123"/>
      <c r="O64" s="1565"/>
      <c r="P64" s="171"/>
      <c r="Q64" s="171"/>
      <c r="R64" s="171"/>
    </row>
    <row r="65" spans="1:18" x14ac:dyDescent="0.2">
      <c r="B65" s="323" t="s">
        <v>618</v>
      </c>
      <c r="C65" s="324" t="s">
        <v>164</v>
      </c>
      <c r="D65" s="1548"/>
      <c r="E65" s="1552"/>
      <c r="F65" s="1552"/>
      <c r="G65" s="1555"/>
      <c r="H65" s="1556"/>
      <c r="I65" s="1555"/>
      <c r="J65" s="1556"/>
      <c r="K65" s="22" t="s">
        <v>561</v>
      </c>
      <c r="L65" s="1064" t="s">
        <v>562</v>
      </c>
      <c r="M65" s="1549"/>
      <c r="O65" s="1565"/>
      <c r="P65" s="171"/>
      <c r="Q65" s="171"/>
      <c r="R65" s="171"/>
    </row>
    <row r="66" spans="1:18" ht="15" x14ac:dyDescent="0.2">
      <c r="A66" s="325">
        <v>316</v>
      </c>
      <c r="B66" s="336" t="str">
        <f>IF(C66=1,"",LOOKUP(C66,Cities!A$3:A$343,Cities!C$3:C$343))</f>
        <v/>
      </c>
      <c r="C66" s="338">
        <f t="shared" ref="C66:D81" si="3">+C12</f>
        <v>1</v>
      </c>
      <c r="D66" s="337">
        <f t="shared" si="3"/>
        <v>0</v>
      </c>
      <c r="E66" s="812">
        <f>ROUND('Print Return'!$L$37*'Overflow (8)'!M12,0)</f>
        <v>0</v>
      </c>
      <c r="F66" s="955"/>
      <c r="G66" s="1524"/>
      <c r="H66" s="1524"/>
      <c r="I66" s="1525">
        <f>IF(Data!D$33=TRUE,'Overflows Worksheet'!K354,'Overflows Worksheet'!T354)</f>
        <v>0</v>
      </c>
      <c r="J66" s="1525"/>
      <c r="K66" s="853">
        <f>LOOKUP(C12,Cities!A$3:A$343,Cities!D$3:D$343)</f>
        <v>0</v>
      </c>
      <c r="L66" s="1522">
        <f>IF(AND(I66&gt;0, OR(I66*K66&gt;10,$L$1&lt;2016)),ROUND(I66*K66,0),0)</f>
        <v>0</v>
      </c>
      <c r="M66" s="1523"/>
      <c r="N66" s="339">
        <f>LOOKUP($C12,Cities!$A$3:$A$356,Cities!$V$3:$V$356)</f>
        <v>0</v>
      </c>
      <c r="O66" s="936" t="str">
        <f>IF(AND(ISNUMBER($L$1)=TRUE,ISNUMBER(O12)=TRUE,O12&gt;=$L$1-5), CONCATENATE("Last 0% tax rate year ", O12),"")</f>
        <v/>
      </c>
      <c r="P66" s="785"/>
      <c r="Q66" s="785">
        <f>IF(P66=FALSE,F66,0)</f>
        <v>0</v>
      </c>
      <c r="R66" s="171"/>
    </row>
    <row r="67" spans="1:18" ht="15" x14ac:dyDescent="0.2">
      <c r="A67" s="325">
        <f>A66+1</f>
        <v>317</v>
      </c>
      <c r="B67" s="336" t="str">
        <f>IF(C67=1,"",LOOKUP(C67,Cities!A$3:A$343,Cities!C$3:C$343))</f>
        <v/>
      </c>
      <c r="C67" s="338">
        <f t="shared" si="3"/>
        <v>1</v>
      </c>
      <c r="D67" s="337">
        <f t="shared" si="3"/>
        <v>0</v>
      </c>
      <c r="E67" s="812">
        <f>ROUND('Print Return'!$L$37*'Overflow (8)'!M13,0)</f>
        <v>0</v>
      </c>
      <c r="F67" s="955"/>
      <c r="G67" s="1524"/>
      <c r="H67" s="1524"/>
      <c r="I67" s="1525">
        <f>IF(Data!D$33=TRUE,'Overflows Worksheet'!K355,'Overflows Worksheet'!T355)</f>
        <v>0</v>
      </c>
      <c r="J67" s="1525"/>
      <c r="K67" s="853">
        <f>LOOKUP(C13,Cities!A$3:A$343,Cities!D$3:D$343)</f>
        <v>0</v>
      </c>
      <c r="L67" s="1522">
        <f t="shared" ref="L67:L110" si="4">IF(AND(I67&gt;0, OR(I67*K67&gt;10,$L$1&lt;2016)),ROUND(I67*K67,0),0)</f>
        <v>0</v>
      </c>
      <c r="M67" s="1523"/>
      <c r="N67" s="339">
        <f>LOOKUP($C13,Cities!$A$3:$A$356,Cities!$V$3:$V$356)</f>
        <v>0</v>
      </c>
      <c r="O67" s="936" t="str">
        <f t="shared" ref="O67:O110" si="5">IF(AND(ISNUMBER($L$1)=TRUE,ISNUMBER(O13)=TRUE,O13&gt;=$L$1-5), CONCATENATE("Last 0% tax rate year ", O13),"")</f>
        <v/>
      </c>
      <c r="P67" s="785"/>
      <c r="Q67" s="785">
        <f t="shared" ref="Q67:Q110" si="6">IF(P67=FALSE,F67,0)</f>
        <v>0</v>
      </c>
      <c r="R67" s="171"/>
    </row>
    <row r="68" spans="1:18" ht="15" x14ac:dyDescent="0.2">
      <c r="A68" s="325">
        <f t="shared" ref="A68:A110" si="7">A67+1</f>
        <v>318</v>
      </c>
      <c r="B68" s="336" t="str">
        <f>IF(C68=1,"",LOOKUP(C68,Cities!A$3:A$343,Cities!C$3:C$343))</f>
        <v/>
      </c>
      <c r="C68" s="338">
        <f t="shared" si="3"/>
        <v>1</v>
      </c>
      <c r="D68" s="337">
        <f t="shared" si="3"/>
        <v>0</v>
      </c>
      <c r="E68" s="812">
        <f>ROUND('Print Return'!$L$37*'Overflow (8)'!M14,0)</f>
        <v>0</v>
      </c>
      <c r="F68" s="955"/>
      <c r="G68" s="1524"/>
      <c r="H68" s="1524"/>
      <c r="I68" s="1525">
        <f>IF(Data!D$33=TRUE,'Overflows Worksheet'!K356,'Overflows Worksheet'!T356)</f>
        <v>0</v>
      </c>
      <c r="J68" s="1525"/>
      <c r="K68" s="853">
        <f>LOOKUP(C14,Cities!A$3:A$343,Cities!D$3:D$343)</f>
        <v>0</v>
      </c>
      <c r="L68" s="1522">
        <f t="shared" si="4"/>
        <v>0</v>
      </c>
      <c r="M68" s="1523"/>
      <c r="N68" s="339">
        <f>LOOKUP($C14,Cities!$A$3:$A$356,Cities!$V$3:$V$356)</f>
        <v>0</v>
      </c>
      <c r="O68" s="936" t="str">
        <f t="shared" si="5"/>
        <v/>
      </c>
      <c r="P68" s="785"/>
      <c r="Q68" s="785">
        <f t="shared" si="6"/>
        <v>0</v>
      </c>
      <c r="R68" s="171"/>
    </row>
    <row r="69" spans="1:18" ht="15" x14ac:dyDescent="0.2">
      <c r="A69" s="325">
        <f t="shared" si="7"/>
        <v>319</v>
      </c>
      <c r="B69" s="336" t="str">
        <f>IF(C69=1,"",LOOKUP(C69,Cities!A$3:A$343,Cities!C$3:C$343))</f>
        <v/>
      </c>
      <c r="C69" s="338">
        <f t="shared" si="3"/>
        <v>1</v>
      </c>
      <c r="D69" s="337">
        <f t="shared" si="3"/>
        <v>0</v>
      </c>
      <c r="E69" s="812">
        <f>ROUND('Print Return'!$L$37*'Overflow (8)'!M15,0)</f>
        <v>0</v>
      </c>
      <c r="F69" s="955"/>
      <c r="G69" s="1524"/>
      <c r="H69" s="1524"/>
      <c r="I69" s="1525">
        <f>IF(Data!D$33=TRUE,'Overflows Worksheet'!K357,'Overflows Worksheet'!T357)</f>
        <v>0</v>
      </c>
      <c r="J69" s="1525"/>
      <c r="K69" s="853">
        <f>LOOKUP(C15,Cities!A$3:A$343,Cities!D$3:D$343)</f>
        <v>0</v>
      </c>
      <c r="L69" s="1522">
        <f t="shared" si="4"/>
        <v>0</v>
      </c>
      <c r="M69" s="1523"/>
      <c r="N69" s="339">
        <f>LOOKUP($C15,Cities!$A$3:$A$356,Cities!$V$3:$V$356)</f>
        <v>0</v>
      </c>
      <c r="O69" s="936" t="str">
        <f t="shared" si="5"/>
        <v/>
      </c>
      <c r="P69" s="785"/>
      <c r="Q69" s="785">
        <f t="shared" si="6"/>
        <v>0</v>
      </c>
      <c r="R69" s="171"/>
    </row>
    <row r="70" spans="1:18" ht="15" x14ac:dyDescent="0.2">
      <c r="A70" s="325">
        <f t="shared" si="7"/>
        <v>320</v>
      </c>
      <c r="B70" s="336" t="str">
        <f>IF(C70=1,"",LOOKUP(C70,Cities!A$3:A$343,Cities!C$3:C$343))</f>
        <v/>
      </c>
      <c r="C70" s="338">
        <f t="shared" si="3"/>
        <v>1</v>
      </c>
      <c r="D70" s="337">
        <f t="shared" si="3"/>
        <v>0</v>
      </c>
      <c r="E70" s="812">
        <f>ROUND('Print Return'!$L$37*'Overflow (8)'!M16,0)</f>
        <v>0</v>
      </c>
      <c r="F70" s="955"/>
      <c r="G70" s="1524"/>
      <c r="H70" s="1524"/>
      <c r="I70" s="1525">
        <f>IF(Data!D$33=TRUE,'Overflows Worksheet'!K358,'Overflows Worksheet'!T358)</f>
        <v>0</v>
      </c>
      <c r="J70" s="1525"/>
      <c r="K70" s="853">
        <f>LOOKUP(C16,Cities!A$3:A$343,Cities!D$3:D$343)</f>
        <v>0</v>
      </c>
      <c r="L70" s="1522">
        <f t="shared" si="4"/>
        <v>0</v>
      </c>
      <c r="M70" s="1523"/>
      <c r="N70" s="339">
        <f>LOOKUP($C16,Cities!$A$3:$A$356,Cities!$V$3:$V$356)</f>
        <v>0</v>
      </c>
      <c r="O70" s="936" t="str">
        <f t="shared" si="5"/>
        <v/>
      </c>
      <c r="P70" s="785"/>
      <c r="Q70" s="785">
        <f t="shared" si="6"/>
        <v>0</v>
      </c>
      <c r="R70" s="171"/>
    </row>
    <row r="71" spans="1:18" ht="15" x14ac:dyDescent="0.2">
      <c r="A71" s="325">
        <f t="shared" si="7"/>
        <v>321</v>
      </c>
      <c r="B71" s="336" t="str">
        <f>IF(C71=1,"",LOOKUP(C71,Cities!A$3:A$343,Cities!C$3:C$343))</f>
        <v/>
      </c>
      <c r="C71" s="338">
        <f t="shared" si="3"/>
        <v>1</v>
      </c>
      <c r="D71" s="337">
        <f t="shared" si="3"/>
        <v>0</v>
      </c>
      <c r="E71" s="812">
        <f>ROUND('Print Return'!$L$37*'Overflow (8)'!M17,0)</f>
        <v>0</v>
      </c>
      <c r="F71" s="955"/>
      <c r="G71" s="1524"/>
      <c r="H71" s="1524"/>
      <c r="I71" s="1525">
        <f>IF(Data!D$33=TRUE,'Overflows Worksheet'!K359,'Overflows Worksheet'!T359)</f>
        <v>0</v>
      </c>
      <c r="J71" s="1525"/>
      <c r="K71" s="853">
        <f>LOOKUP(C17,Cities!A$3:A$343,Cities!D$3:D$343)</f>
        <v>0</v>
      </c>
      <c r="L71" s="1522">
        <f t="shared" si="4"/>
        <v>0</v>
      </c>
      <c r="M71" s="1523"/>
      <c r="N71" s="339">
        <f>LOOKUP($C17,Cities!$A$3:$A$356,Cities!$V$3:$V$356)</f>
        <v>0</v>
      </c>
      <c r="O71" s="936" t="str">
        <f t="shared" si="5"/>
        <v/>
      </c>
      <c r="P71" s="785"/>
      <c r="Q71" s="785">
        <f t="shared" si="6"/>
        <v>0</v>
      </c>
      <c r="R71" s="171"/>
    </row>
    <row r="72" spans="1:18" ht="15" x14ac:dyDescent="0.2">
      <c r="A72" s="325">
        <f t="shared" si="7"/>
        <v>322</v>
      </c>
      <c r="B72" s="336" t="str">
        <f>IF(C72=1,"",LOOKUP(C72,Cities!A$3:A$343,Cities!C$3:C$343))</f>
        <v/>
      </c>
      <c r="C72" s="338">
        <f t="shared" si="3"/>
        <v>1</v>
      </c>
      <c r="D72" s="337">
        <f t="shared" si="3"/>
        <v>0</v>
      </c>
      <c r="E72" s="812">
        <f>ROUND('Print Return'!$L$37*'Overflow (8)'!M18,0)</f>
        <v>0</v>
      </c>
      <c r="F72" s="955"/>
      <c r="G72" s="1524"/>
      <c r="H72" s="1524"/>
      <c r="I72" s="1525">
        <f>IF(Data!D$33=TRUE,'Overflows Worksheet'!K360,'Overflows Worksheet'!T360)</f>
        <v>0</v>
      </c>
      <c r="J72" s="1525"/>
      <c r="K72" s="853">
        <f>LOOKUP(C18,Cities!A$3:A$343,Cities!D$3:D$343)</f>
        <v>0</v>
      </c>
      <c r="L72" s="1522">
        <f t="shared" si="4"/>
        <v>0</v>
      </c>
      <c r="M72" s="1523"/>
      <c r="N72" s="339">
        <f>LOOKUP($C18,Cities!$A$3:$A$356,Cities!$V$3:$V$356)</f>
        <v>0</v>
      </c>
      <c r="O72" s="936" t="str">
        <f t="shared" si="5"/>
        <v/>
      </c>
      <c r="P72" s="785"/>
      <c r="Q72" s="785">
        <f t="shared" si="6"/>
        <v>0</v>
      </c>
      <c r="R72" s="171"/>
    </row>
    <row r="73" spans="1:18" ht="15" x14ac:dyDescent="0.2">
      <c r="A73" s="325">
        <f t="shared" si="7"/>
        <v>323</v>
      </c>
      <c r="B73" s="336" t="str">
        <f>IF(C73=1,"",LOOKUP(C73,Cities!A$3:A$343,Cities!C$3:C$343))</f>
        <v/>
      </c>
      <c r="C73" s="338">
        <f t="shared" si="3"/>
        <v>1</v>
      </c>
      <c r="D73" s="337">
        <f t="shared" si="3"/>
        <v>0</v>
      </c>
      <c r="E73" s="812">
        <f>ROUND('Print Return'!$L$37*'Overflow (8)'!M19,0)</f>
        <v>0</v>
      </c>
      <c r="F73" s="955"/>
      <c r="G73" s="1524"/>
      <c r="H73" s="1524"/>
      <c r="I73" s="1525">
        <f>IF(Data!D$33=TRUE,'Overflows Worksheet'!K361,'Overflows Worksheet'!T361)</f>
        <v>0</v>
      </c>
      <c r="J73" s="1525"/>
      <c r="K73" s="853">
        <f>LOOKUP(C19,Cities!A$3:A$343,Cities!D$3:D$343)</f>
        <v>0</v>
      </c>
      <c r="L73" s="1522">
        <f t="shared" si="4"/>
        <v>0</v>
      </c>
      <c r="M73" s="1523"/>
      <c r="N73" s="339">
        <f>LOOKUP($C19,Cities!$A$3:$A$356,Cities!$V$3:$V$356)</f>
        <v>0</v>
      </c>
      <c r="O73" s="936" t="str">
        <f t="shared" si="5"/>
        <v/>
      </c>
      <c r="P73" s="785"/>
      <c r="Q73" s="785">
        <f t="shared" si="6"/>
        <v>0</v>
      </c>
      <c r="R73" s="171"/>
    </row>
    <row r="74" spans="1:18" ht="15" x14ac:dyDescent="0.2">
      <c r="A74" s="325">
        <f t="shared" si="7"/>
        <v>324</v>
      </c>
      <c r="B74" s="336" t="str">
        <f>IF(C74=1,"",LOOKUP(C74,Cities!A$3:A$343,Cities!C$3:C$343))</f>
        <v/>
      </c>
      <c r="C74" s="338">
        <f t="shared" si="3"/>
        <v>1</v>
      </c>
      <c r="D74" s="337">
        <f t="shared" si="3"/>
        <v>0</v>
      </c>
      <c r="E74" s="812">
        <f>ROUND('Print Return'!$L$37*'Overflow (8)'!M20,0)</f>
        <v>0</v>
      </c>
      <c r="F74" s="955"/>
      <c r="G74" s="1524"/>
      <c r="H74" s="1524"/>
      <c r="I74" s="1525">
        <f>IF(Data!D$33=TRUE,'Overflows Worksheet'!K362,'Overflows Worksheet'!T362)</f>
        <v>0</v>
      </c>
      <c r="J74" s="1525"/>
      <c r="K74" s="853">
        <f>LOOKUP(C20,Cities!A$3:A$343,Cities!D$3:D$343)</f>
        <v>0</v>
      </c>
      <c r="L74" s="1522">
        <f t="shared" si="4"/>
        <v>0</v>
      </c>
      <c r="M74" s="1523"/>
      <c r="N74" s="339">
        <f>LOOKUP($C20,Cities!$A$3:$A$356,Cities!$V$3:$V$356)</f>
        <v>0</v>
      </c>
      <c r="O74" s="936" t="str">
        <f t="shared" si="5"/>
        <v/>
      </c>
      <c r="P74" s="785"/>
      <c r="Q74" s="785">
        <f t="shared" si="6"/>
        <v>0</v>
      </c>
      <c r="R74" s="171"/>
    </row>
    <row r="75" spans="1:18" ht="15" x14ac:dyDescent="0.2">
      <c r="A75" s="325">
        <f t="shared" si="7"/>
        <v>325</v>
      </c>
      <c r="B75" s="336" t="str">
        <f>IF(C75=1,"",LOOKUP(C75,Cities!A$3:A$343,Cities!C$3:C$343))</f>
        <v/>
      </c>
      <c r="C75" s="338">
        <f t="shared" si="3"/>
        <v>1</v>
      </c>
      <c r="D75" s="337">
        <f t="shared" si="3"/>
        <v>0</v>
      </c>
      <c r="E75" s="812">
        <f>ROUND('Print Return'!$L$37*'Overflow (8)'!M21,0)</f>
        <v>0</v>
      </c>
      <c r="F75" s="955"/>
      <c r="G75" s="1524"/>
      <c r="H75" s="1524"/>
      <c r="I75" s="1525">
        <f>IF(Data!D$33=TRUE,'Overflows Worksheet'!K363,'Overflows Worksheet'!T363)</f>
        <v>0</v>
      </c>
      <c r="J75" s="1525"/>
      <c r="K75" s="853">
        <f>LOOKUP(C21,Cities!A$3:A$343,Cities!D$3:D$343)</f>
        <v>0</v>
      </c>
      <c r="L75" s="1522">
        <f t="shared" si="4"/>
        <v>0</v>
      </c>
      <c r="M75" s="1523"/>
      <c r="N75" s="339">
        <f>LOOKUP($C21,Cities!$A$3:$A$356,Cities!$V$3:$V$356)</f>
        <v>0</v>
      </c>
      <c r="O75" s="936" t="str">
        <f t="shared" si="5"/>
        <v/>
      </c>
      <c r="P75" s="785"/>
      <c r="Q75" s="785">
        <f t="shared" si="6"/>
        <v>0</v>
      </c>
      <c r="R75" s="171"/>
    </row>
    <row r="76" spans="1:18" ht="15" x14ac:dyDescent="0.2">
      <c r="A76" s="325">
        <f t="shared" si="7"/>
        <v>326</v>
      </c>
      <c r="B76" s="336" t="str">
        <f>IF(C76=1,"",LOOKUP(C76,Cities!A$3:A$343,Cities!C$3:C$343))</f>
        <v/>
      </c>
      <c r="C76" s="338">
        <f t="shared" si="3"/>
        <v>1</v>
      </c>
      <c r="D76" s="337">
        <f t="shared" si="3"/>
        <v>0</v>
      </c>
      <c r="E76" s="812">
        <f>ROUND('Print Return'!$L$37*'Overflow (8)'!M22,0)</f>
        <v>0</v>
      </c>
      <c r="F76" s="955"/>
      <c r="G76" s="1524"/>
      <c r="H76" s="1524"/>
      <c r="I76" s="1525">
        <f>IF(Data!D$33=TRUE,'Overflows Worksheet'!K364,'Overflows Worksheet'!T364)</f>
        <v>0</v>
      </c>
      <c r="J76" s="1525"/>
      <c r="K76" s="853">
        <f>LOOKUP(C22,Cities!A$3:A$343,Cities!D$3:D$343)</f>
        <v>0</v>
      </c>
      <c r="L76" s="1522">
        <f t="shared" si="4"/>
        <v>0</v>
      </c>
      <c r="M76" s="1523"/>
      <c r="N76" s="339">
        <f>LOOKUP($C22,Cities!$A$3:$A$356,Cities!$V$3:$V$356)</f>
        <v>0</v>
      </c>
      <c r="O76" s="936" t="str">
        <f t="shared" si="5"/>
        <v/>
      </c>
      <c r="P76" s="785"/>
      <c r="Q76" s="785">
        <f t="shared" si="6"/>
        <v>0</v>
      </c>
      <c r="R76" s="171"/>
    </row>
    <row r="77" spans="1:18" ht="15" x14ac:dyDescent="0.2">
      <c r="A77" s="325">
        <f t="shared" si="7"/>
        <v>327</v>
      </c>
      <c r="B77" s="336" t="str">
        <f>IF(C77=1,"",LOOKUP(C77,Cities!A$3:A$343,Cities!C$3:C$343))</f>
        <v/>
      </c>
      <c r="C77" s="338">
        <f t="shared" si="3"/>
        <v>1</v>
      </c>
      <c r="D77" s="337">
        <f t="shared" si="3"/>
        <v>0</v>
      </c>
      <c r="E77" s="812">
        <f>ROUND('Print Return'!$L$37*'Overflow (8)'!M23,0)</f>
        <v>0</v>
      </c>
      <c r="F77" s="955"/>
      <c r="G77" s="1524"/>
      <c r="H77" s="1524"/>
      <c r="I77" s="1525">
        <f>IF(Data!D$33=TRUE,'Overflows Worksheet'!K365,'Overflows Worksheet'!T365)</f>
        <v>0</v>
      </c>
      <c r="J77" s="1525"/>
      <c r="K77" s="853">
        <f>LOOKUP(C23,Cities!A$3:A$343,Cities!D$3:D$343)</f>
        <v>0</v>
      </c>
      <c r="L77" s="1522">
        <f t="shared" si="4"/>
        <v>0</v>
      </c>
      <c r="M77" s="1523"/>
      <c r="N77" s="339">
        <f>LOOKUP($C23,Cities!$A$3:$A$356,Cities!$V$3:$V$356)</f>
        <v>0</v>
      </c>
      <c r="O77" s="936" t="str">
        <f t="shared" si="5"/>
        <v/>
      </c>
      <c r="P77" s="785"/>
      <c r="Q77" s="785">
        <f t="shared" si="6"/>
        <v>0</v>
      </c>
      <c r="R77" s="171"/>
    </row>
    <row r="78" spans="1:18" ht="15" x14ac:dyDescent="0.2">
      <c r="A78" s="325">
        <f t="shared" si="7"/>
        <v>328</v>
      </c>
      <c r="B78" s="336" t="str">
        <f>IF(C78=1,"",LOOKUP(C78,Cities!A$3:A$343,Cities!C$3:C$343))</f>
        <v/>
      </c>
      <c r="C78" s="338">
        <f t="shared" si="3"/>
        <v>1</v>
      </c>
      <c r="D78" s="337">
        <f t="shared" si="3"/>
        <v>0</v>
      </c>
      <c r="E78" s="812">
        <f>ROUND('Print Return'!$L$37*'Overflow (8)'!M24,0)</f>
        <v>0</v>
      </c>
      <c r="F78" s="955"/>
      <c r="G78" s="1524"/>
      <c r="H78" s="1524"/>
      <c r="I78" s="1525">
        <f>IF(Data!D$33=TRUE,'Overflows Worksheet'!K366,'Overflows Worksheet'!T366)</f>
        <v>0</v>
      </c>
      <c r="J78" s="1525"/>
      <c r="K78" s="853">
        <f>LOOKUP(C24,Cities!A$3:A$343,Cities!D$3:D$343)</f>
        <v>0</v>
      </c>
      <c r="L78" s="1522">
        <f t="shared" si="4"/>
        <v>0</v>
      </c>
      <c r="M78" s="1523"/>
      <c r="N78" s="339">
        <f>LOOKUP($C24,Cities!$A$3:$A$356,Cities!$V$3:$V$356)</f>
        <v>0</v>
      </c>
      <c r="O78" s="936" t="str">
        <f t="shared" si="5"/>
        <v/>
      </c>
      <c r="P78" s="785"/>
      <c r="Q78" s="785">
        <f t="shared" si="6"/>
        <v>0</v>
      </c>
      <c r="R78" s="171"/>
    </row>
    <row r="79" spans="1:18" ht="15" x14ac:dyDescent="0.2">
      <c r="A79" s="325">
        <f t="shared" si="7"/>
        <v>329</v>
      </c>
      <c r="B79" s="336" t="str">
        <f>IF(C79=1,"",LOOKUP(C79,Cities!A$3:A$343,Cities!C$3:C$343))</f>
        <v/>
      </c>
      <c r="C79" s="338">
        <f t="shared" si="3"/>
        <v>1</v>
      </c>
      <c r="D79" s="337">
        <f t="shared" si="3"/>
        <v>0</v>
      </c>
      <c r="E79" s="812">
        <f>ROUND('Print Return'!$L$37*'Overflow (8)'!M25,0)</f>
        <v>0</v>
      </c>
      <c r="F79" s="955"/>
      <c r="G79" s="1524"/>
      <c r="H79" s="1524"/>
      <c r="I79" s="1525">
        <f>IF(Data!D$33=TRUE,'Overflows Worksheet'!K367,'Overflows Worksheet'!T367)</f>
        <v>0</v>
      </c>
      <c r="J79" s="1525"/>
      <c r="K79" s="853">
        <f>LOOKUP(C25,Cities!A$3:A$343,Cities!D$3:D$343)</f>
        <v>0</v>
      </c>
      <c r="L79" s="1522">
        <f t="shared" si="4"/>
        <v>0</v>
      </c>
      <c r="M79" s="1523"/>
      <c r="N79" s="339">
        <f>LOOKUP($C25,Cities!$A$3:$A$356,Cities!$V$3:$V$356)</f>
        <v>0</v>
      </c>
      <c r="O79" s="936" t="str">
        <f t="shared" si="5"/>
        <v/>
      </c>
      <c r="P79" s="785"/>
      <c r="Q79" s="785">
        <f t="shared" si="6"/>
        <v>0</v>
      </c>
      <c r="R79" s="171"/>
    </row>
    <row r="80" spans="1:18" ht="15" x14ac:dyDescent="0.2">
      <c r="A80" s="325">
        <f t="shared" si="7"/>
        <v>330</v>
      </c>
      <c r="B80" s="336" t="str">
        <f>IF(C80=1,"",LOOKUP(C80,Cities!A$3:A$343,Cities!C$3:C$343))</f>
        <v/>
      </c>
      <c r="C80" s="338">
        <f t="shared" si="3"/>
        <v>1</v>
      </c>
      <c r="D80" s="337">
        <f t="shared" si="3"/>
        <v>0</v>
      </c>
      <c r="E80" s="812">
        <f>ROUND('Print Return'!$L$37*'Overflow (8)'!M26,0)</f>
        <v>0</v>
      </c>
      <c r="F80" s="955"/>
      <c r="G80" s="1524"/>
      <c r="H80" s="1524"/>
      <c r="I80" s="1525">
        <f>IF(Data!D$33=TRUE,'Overflows Worksheet'!K368,'Overflows Worksheet'!T368)</f>
        <v>0</v>
      </c>
      <c r="J80" s="1525"/>
      <c r="K80" s="853">
        <f>LOOKUP(C26,Cities!A$3:A$343,Cities!D$3:D$343)</f>
        <v>0</v>
      </c>
      <c r="L80" s="1522">
        <f t="shared" si="4"/>
        <v>0</v>
      </c>
      <c r="M80" s="1523"/>
      <c r="N80" s="339">
        <f>LOOKUP($C26,Cities!$A$3:$A$356,Cities!$V$3:$V$356)</f>
        <v>0</v>
      </c>
      <c r="O80" s="936" t="str">
        <f t="shared" si="5"/>
        <v/>
      </c>
      <c r="P80" s="785"/>
      <c r="Q80" s="785">
        <f t="shared" si="6"/>
        <v>0</v>
      </c>
      <c r="R80" s="171"/>
    </row>
    <row r="81" spans="1:18" ht="15" x14ac:dyDescent="0.2">
      <c r="A81" s="325">
        <f t="shared" si="7"/>
        <v>331</v>
      </c>
      <c r="B81" s="336" t="str">
        <f>IF(C81=1,"",LOOKUP(C81,Cities!A$3:A$343,Cities!C$3:C$343))</f>
        <v/>
      </c>
      <c r="C81" s="338">
        <f t="shared" si="3"/>
        <v>1</v>
      </c>
      <c r="D81" s="337">
        <f t="shared" si="3"/>
        <v>0</v>
      </c>
      <c r="E81" s="812">
        <f>ROUND('Print Return'!$L$37*'Overflow (8)'!M27,0)</f>
        <v>0</v>
      </c>
      <c r="F81" s="955"/>
      <c r="G81" s="1524"/>
      <c r="H81" s="1524"/>
      <c r="I81" s="1525">
        <f>IF(Data!D$33=TRUE,'Overflows Worksheet'!K369,'Overflows Worksheet'!T369)</f>
        <v>0</v>
      </c>
      <c r="J81" s="1525"/>
      <c r="K81" s="853">
        <f>LOOKUP(C27,Cities!A$3:A$343,Cities!D$3:D$343)</f>
        <v>0</v>
      </c>
      <c r="L81" s="1522">
        <f t="shared" si="4"/>
        <v>0</v>
      </c>
      <c r="M81" s="1523"/>
      <c r="N81" s="339">
        <f>LOOKUP($C27,Cities!$A$3:$A$356,Cities!$V$3:$V$356)</f>
        <v>0</v>
      </c>
      <c r="O81" s="936" t="str">
        <f t="shared" si="5"/>
        <v/>
      </c>
      <c r="P81" s="785"/>
      <c r="Q81" s="785">
        <f t="shared" si="6"/>
        <v>0</v>
      </c>
      <c r="R81" s="171"/>
    </row>
    <row r="82" spans="1:18" ht="15" x14ac:dyDescent="0.2">
      <c r="A82" s="325">
        <f t="shared" si="7"/>
        <v>332</v>
      </c>
      <c r="B82" s="336" t="str">
        <f>IF(C82=1,"",LOOKUP(C82,Cities!A$3:A$343,Cities!C$3:C$343))</f>
        <v/>
      </c>
      <c r="C82" s="338">
        <f t="shared" ref="C82:D97" si="8">+C28</f>
        <v>1</v>
      </c>
      <c r="D82" s="337">
        <f t="shared" si="8"/>
        <v>0</v>
      </c>
      <c r="E82" s="812">
        <f>ROUND('Print Return'!$L$37*'Overflow (8)'!M28,0)</f>
        <v>0</v>
      </c>
      <c r="F82" s="955"/>
      <c r="G82" s="1524"/>
      <c r="H82" s="1524"/>
      <c r="I82" s="1525">
        <f>IF(Data!D$33=TRUE,'Overflows Worksheet'!K370,'Overflows Worksheet'!T370)</f>
        <v>0</v>
      </c>
      <c r="J82" s="1525"/>
      <c r="K82" s="853">
        <f>LOOKUP(C28,Cities!A$3:A$343,Cities!D$3:D$343)</f>
        <v>0</v>
      </c>
      <c r="L82" s="1522">
        <f t="shared" si="4"/>
        <v>0</v>
      </c>
      <c r="M82" s="1523"/>
      <c r="N82" s="339">
        <f>LOOKUP($C28,Cities!$A$3:$A$356,Cities!$V$3:$V$356)</f>
        <v>0</v>
      </c>
      <c r="O82" s="936" t="str">
        <f t="shared" si="5"/>
        <v/>
      </c>
      <c r="P82" s="785"/>
      <c r="Q82" s="785">
        <f t="shared" si="6"/>
        <v>0</v>
      </c>
      <c r="R82" s="171"/>
    </row>
    <row r="83" spans="1:18" ht="15" x14ac:dyDescent="0.2">
      <c r="A83" s="325">
        <f t="shared" si="7"/>
        <v>333</v>
      </c>
      <c r="B83" s="336" t="str">
        <f>IF(C83=1,"",LOOKUP(C83,Cities!A$3:A$343,Cities!C$3:C$343))</f>
        <v/>
      </c>
      <c r="C83" s="338">
        <f t="shared" si="8"/>
        <v>1</v>
      </c>
      <c r="D83" s="337">
        <f t="shared" si="8"/>
        <v>0</v>
      </c>
      <c r="E83" s="812">
        <f>ROUND('Print Return'!$L$37*'Overflow (8)'!M29,0)</f>
        <v>0</v>
      </c>
      <c r="F83" s="955"/>
      <c r="G83" s="1524"/>
      <c r="H83" s="1524"/>
      <c r="I83" s="1525">
        <f>IF(Data!D$33=TRUE,'Overflows Worksheet'!K371,'Overflows Worksheet'!T371)</f>
        <v>0</v>
      </c>
      <c r="J83" s="1525"/>
      <c r="K83" s="853">
        <f>LOOKUP(C29,Cities!A$3:A$343,Cities!D$3:D$343)</f>
        <v>0</v>
      </c>
      <c r="L83" s="1522">
        <f t="shared" si="4"/>
        <v>0</v>
      </c>
      <c r="M83" s="1523"/>
      <c r="N83" s="339">
        <f>LOOKUP($C29,Cities!$A$3:$A$356,Cities!$V$3:$V$356)</f>
        <v>0</v>
      </c>
      <c r="O83" s="936" t="str">
        <f t="shared" si="5"/>
        <v/>
      </c>
      <c r="P83" s="785"/>
      <c r="Q83" s="785">
        <f t="shared" si="6"/>
        <v>0</v>
      </c>
      <c r="R83" s="171"/>
    </row>
    <row r="84" spans="1:18" ht="15" x14ac:dyDescent="0.2">
      <c r="A84" s="325">
        <f t="shared" si="7"/>
        <v>334</v>
      </c>
      <c r="B84" s="336" t="str">
        <f>IF(C84=1,"",LOOKUP(C84,Cities!A$3:A$343,Cities!C$3:C$343))</f>
        <v/>
      </c>
      <c r="C84" s="338">
        <f t="shared" si="8"/>
        <v>1</v>
      </c>
      <c r="D84" s="337">
        <f t="shared" si="8"/>
        <v>0</v>
      </c>
      <c r="E84" s="812">
        <f>ROUND('Print Return'!$L$37*'Overflow (8)'!M30,0)</f>
        <v>0</v>
      </c>
      <c r="F84" s="955"/>
      <c r="G84" s="1524"/>
      <c r="H84" s="1524"/>
      <c r="I84" s="1525">
        <f>IF(Data!D$33=TRUE,'Overflows Worksheet'!K372,'Overflows Worksheet'!T372)</f>
        <v>0</v>
      </c>
      <c r="J84" s="1525"/>
      <c r="K84" s="853">
        <f>LOOKUP(C30,Cities!A$3:A$343,Cities!D$3:D$343)</f>
        <v>0</v>
      </c>
      <c r="L84" s="1522">
        <f t="shared" si="4"/>
        <v>0</v>
      </c>
      <c r="M84" s="1523"/>
      <c r="N84" s="339">
        <f>LOOKUP($C30,Cities!$A$3:$A$356,Cities!$V$3:$V$356)</f>
        <v>0</v>
      </c>
      <c r="O84" s="936" t="str">
        <f t="shared" si="5"/>
        <v/>
      </c>
      <c r="P84" s="785"/>
      <c r="Q84" s="785">
        <f t="shared" si="6"/>
        <v>0</v>
      </c>
      <c r="R84" s="171"/>
    </row>
    <row r="85" spans="1:18" ht="15" x14ac:dyDescent="0.2">
      <c r="A85" s="325">
        <f t="shared" si="7"/>
        <v>335</v>
      </c>
      <c r="B85" s="336" t="str">
        <f>IF(C85=1,"",LOOKUP(C85,Cities!A$3:A$343,Cities!C$3:C$343))</f>
        <v/>
      </c>
      <c r="C85" s="338">
        <f t="shared" si="8"/>
        <v>1</v>
      </c>
      <c r="D85" s="337">
        <f t="shared" si="8"/>
        <v>0</v>
      </c>
      <c r="E85" s="812">
        <f>ROUND('Print Return'!$L$37*'Overflow (8)'!M31,0)</f>
        <v>0</v>
      </c>
      <c r="F85" s="955"/>
      <c r="G85" s="1524"/>
      <c r="H85" s="1524"/>
      <c r="I85" s="1525">
        <f>IF(Data!D$33=TRUE,'Overflows Worksheet'!K373,'Overflows Worksheet'!T373)</f>
        <v>0</v>
      </c>
      <c r="J85" s="1525"/>
      <c r="K85" s="853">
        <f>LOOKUP(C31,Cities!A$3:A$343,Cities!D$3:D$343)</f>
        <v>0</v>
      </c>
      <c r="L85" s="1522">
        <f t="shared" si="4"/>
        <v>0</v>
      </c>
      <c r="M85" s="1523"/>
      <c r="N85" s="339">
        <f>LOOKUP($C31,Cities!$A$3:$A$356,Cities!$V$3:$V$356)</f>
        <v>0</v>
      </c>
      <c r="O85" s="936" t="str">
        <f t="shared" si="5"/>
        <v/>
      </c>
      <c r="P85" s="785"/>
      <c r="Q85" s="785">
        <f t="shared" si="6"/>
        <v>0</v>
      </c>
      <c r="R85" s="171"/>
    </row>
    <row r="86" spans="1:18" ht="15" x14ac:dyDescent="0.2">
      <c r="A86" s="325">
        <f t="shared" si="7"/>
        <v>336</v>
      </c>
      <c r="B86" s="336" t="str">
        <f>IF(C86=1,"",LOOKUP(C86,Cities!A$3:A$343,Cities!C$3:C$343))</f>
        <v/>
      </c>
      <c r="C86" s="338">
        <f t="shared" si="8"/>
        <v>1</v>
      </c>
      <c r="D86" s="337">
        <f t="shared" si="8"/>
        <v>0</v>
      </c>
      <c r="E86" s="812">
        <f>ROUND('Print Return'!$L$37*'Overflow (8)'!M32,0)</f>
        <v>0</v>
      </c>
      <c r="F86" s="955"/>
      <c r="G86" s="1524"/>
      <c r="H86" s="1524"/>
      <c r="I86" s="1525">
        <f>IF(Data!D$33=TRUE,'Overflows Worksheet'!K374,'Overflows Worksheet'!T374)</f>
        <v>0</v>
      </c>
      <c r="J86" s="1525"/>
      <c r="K86" s="853">
        <f>LOOKUP(C32,Cities!A$3:A$343,Cities!D$3:D$343)</f>
        <v>0</v>
      </c>
      <c r="L86" s="1522">
        <f t="shared" si="4"/>
        <v>0</v>
      </c>
      <c r="M86" s="1523"/>
      <c r="N86" s="339">
        <f>LOOKUP($C32,Cities!$A$3:$A$356,Cities!$V$3:$V$356)</f>
        <v>0</v>
      </c>
      <c r="O86" s="936" t="str">
        <f t="shared" si="5"/>
        <v/>
      </c>
      <c r="P86" s="785"/>
      <c r="Q86" s="785">
        <f t="shared" si="6"/>
        <v>0</v>
      </c>
      <c r="R86" s="171"/>
    </row>
    <row r="87" spans="1:18" ht="15" x14ac:dyDescent="0.2">
      <c r="A87" s="325">
        <f t="shared" si="7"/>
        <v>337</v>
      </c>
      <c r="B87" s="336" t="str">
        <f>IF(C87=1,"",LOOKUP(C87,Cities!A$3:A$343,Cities!C$3:C$343))</f>
        <v/>
      </c>
      <c r="C87" s="338">
        <f t="shared" si="8"/>
        <v>1</v>
      </c>
      <c r="D87" s="337">
        <f t="shared" si="8"/>
        <v>0</v>
      </c>
      <c r="E87" s="812">
        <f>ROUND('Print Return'!$L$37*'Overflow (8)'!M33,0)</f>
        <v>0</v>
      </c>
      <c r="F87" s="955"/>
      <c r="G87" s="1524"/>
      <c r="H87" s="1524"/>
      <c r="I87" s="1525">
        <f>IF(Data!D$33=TRUE,'Overflows Worksheet'!K375,'Overflows Worksheet'!T375)</f>
        <v>0</v>
      </c>
      <c r="J87" s="1525"/>
      <c r="K87" s="853">
        <f>LOOKUP(C33,Cities!A$3:A$343,Cities!D$3:D$343)</f>
        <v>0</v>
      </c>
      <c r="L87" s="1522">
        <f t="shared" si="4"/>
        <v>0</v>
      </c>
      <c r="M87" s="1523"/>
      <c r="N87" s="339">
        <f>LOOKUP($C33,Cities!$A$3:$A$356,Cities!$V$3:$V$356)</f>
        <v>0</v>
      </c>
      <c r="O87" s="936" t="str">
        <f t="shared" si="5"/>
        <v/>
      </c>
      <c r="P87" s="785"/>
      <c r="Q87" s="785">
        <f t="shared" si="6"/>
        <v>0</v>
      </c>
      <c r="R87" s="171"/>
    </row>
    <row r="88" spans="1:18" ht="15" x14ac:dyDescent="0.2">
      <c r="A88" s="325">
        <f t="shared" si="7"/>
        <v>338</v>
      </c>
      <c r="B88" s="336" t="str">
        <f>IF(C88=1,"",LOOKUP(C88,Cities!A$3:A$343,Cities!C$3:C$343))</f>
        <v/>
      </c>
      <c r="C88" s="338">
        <f t="shared" si="8"/>
        <v>1</v>
      </c>
      <c r="D88" s="337">
        <f t="shared" si="8"/>
        <v>0</v>
      </c>
      <c r="E88" s="812">
        <f>ROUND('Print Return'!$L$37*'Overflow (8)'!M34,0)</f>
        <v>0</v>
      </c>
      <c r="F88" s="955"/>
      <c r="G88" s="1524"/>
      <c r="H88" s="1524"/>
      <c r="I88" s="1525">
        <f>IF(Data!D$33=TRUE,'Overflows Worksheet'!K376,'Overflows Worksheet'!T376)</f>
        <v>0</v>
      </c>
      <c r="J88" s="1525"/>
      <c r="K88" s="853">
        <f>LOOKUP(C34,Cities!A$3:A$343,Cities!D$3:D$343)</f>
        <v>0</v>
      </c>
      <c r="L88" s="1522">
        <f t="shared" si="4"/>
        <v>0</v>
      </c>
      <c r="M88" s="1523"/>
      <c r="N88" s="339">
        <f>LOOKUP($C34,Cities!$A$3:$A$356,Cities!$V$3:$V$356)</f>
        <v>0</v>
      </c>
      <c r="O88" s="936" t="str">
        <f t="shared" si="5"/>
        <v/>
      </c>
      <c r="P88" s="785"/>
      <c r="Q88" s="785">
        <f t="shared" si="6"/>
        <v>0</v>
      </c>
      <c r="R88" s="171"/>
    </row>
    <row r="89" spans="1:18" ht="15" x14ac:dyDescent="0.2">
      <c r="A89" s="325">
        <f t="shared" si="7"/>
        <v>339</v>
      </c>
      <c r="B89" s="336" t="str">
        <f>IF(C89=1,"",LOOKUP(C89,Cities!A$3:A$343,Cities!C$3:C$343))</f>
        <v/>
      </c>
      <c r="C89" s="338">
        <f t="shared" si="8"/>
        <v>1</v>
      </c>
      <c r="D89" s="337">
        <f t="shared" si="8"/>
        <v>0</v>
      </c>
      <c r="E89" s="812">
        <f>ROUND('Print Return'!$L$37*'Overflow (8)'!M35,0)</f>
        <v>0</v>
      </c>
      <c r="F89" s="955"/>
      <c r="G89" s="1524"/>
      <c r="H89" s="1524"/>
      <c r="I89" s="1525">
        <f>IF(Data!D$33=TRUE,'Overflows Worksheet'!K377,'Overflows Worksheet'!T377)</f>
        <v>0</v>
      </c>
      <c r="J89" s="1525"/>
      <c r="K89" s="853">
        <f>LOOKUP(C35,Cities!A$3:A$343,Cities!D$3:D$343)</f>
        <v>0</v>
      </c>
      <c r="L89" s="1522">
        <f t="shared" si="4"/>
        <v>0</v>
      </c>
      <c r="M89" s="1523"/>
      <c r="N89" s="339">
        <f>LOOKUP($C35,Cities!$A$3:$A$356,Cities!$V$3:$V$356)</f>
        <v>0</v>
      </c>
      <c r="O89" s="936" t="str">
        <f t="shared" si="5"/>
        <v/>
      </c>
      <c r="P89" s="785"/>
      <c r="Q89" s="785">
        <f t="shared" si="6"/>
        <v>0</v>
      </c>
      <c r="R89" s="171"/>
    </row>
    <row r="90" spans="1:18" ht="15" x14ac:dyDescent="0.2">
      <c r="A90" s="325">
        <f t="shared" si="7"/>
        <v>340</v>
      </c>
      <c r="B90" s="336" t="str">
        <f>IF(C90=1,"",LOOKUP(C90,Cities!A$3:A$343,Cities!C$3:C$343))</f>
        <v/>
      </c>
      <c r="C90" s="338">
        <f t="shared" si="8"/>
        <v>1</v>
      </c>
      <c r="D90" s="337">
        <f t="shared" si="8"/>
        <v>0</v>
      </c>
      <c r="E90" s="812">
        <f>ROUND('Print Return'!$L$37*'Overflow (8)'!M36,0)</f>
        <v>0</v>
      </c>
      <c r="F90" s="955"/>
      <c r="G90" s="1524"/>
      <c r="H90" s="1524"/>
      <c r="I90" s="1525">
        <f>IF(Data!D$33=TRUE,'Overflows Worksheet'!K378,'Overflows Worksheet'!T378)</f>
        <v>0</v>
      </c>
      <c r="J90" s="1525"/>
      <c r="K90" s="853">
        <f>LOOKUP(C36,Cities!A$3:A$343,Cities!D$3:D$343)</f>
        <v>0</v>
      </c>
      <c r="L90" s="1522">
        <f t="shared" si="4"/>
        <v>0</v>
      </c>
      <c r="M90" s="1523"/>
      <c r="N90" s="339">
        <f>LOOKUP($C36,Cities!$A$3:$A$356,Cities!$V$3:$V$356)</f>
        <v>0</v>
      </c>
      <c r="O90" s="936" t="str">
        <f t="shared" si="5"/>
        <v/>
      </c>
      <c r="P90" s="785"/>
      <c r="Q90" s="785">
        <f t="shared" si="6"/>
        <v>0</v>
      </c>
      <c r="R90" s="171"/>
    </row>
    <row r="91" spans="1:18" ht="15" x14ac:dyDescent="0.2">
      <c r="A91" s="325">
        <f t="shared" si="7"/>
        <v>341</v>
      </c>
      <c r="B91" s="336" t="str">
        <f>IF(C91=1,"",LOOKUP(C91,Cities!A$3:A$343,Cities!C$3:C$343))</f>
        <v/>
      </c>
      <c r="C91" s="338">
        <f t="shared" si="8"/>
        <v>1</v>
      </c>
      <c r="D91" s="337">
        <f t="shared" si="8"/>
        <v>0</v>
      </c>
      <c r="E91" s="812">
        <f>ROUND('Print Return'!$L$37*'Overflow (8)'!M37,0)</f>
        <v>0</v>
      </c>
      <c r="F91" s="955"/>
      <c r="G91" s="1524"/>
      <c r="H91" s="1524"/>
      <c r="I91" s="1525">
        <f>IF(Data!D$33=TRUE,'Overflows Worksheet'!K379,'Overflows Worksheet'!T379)</f>
        <v>0</v>
      </c>
      <c r="J91" s="1525"/>
      <c r="K91" s="853">
        <f>LOOKUP(C37,Cities!A$3:A$343,Cities!D$3:D$343)</f>
        <v>0</v>
      </c>
      <c r="L91" s="1522">
        <f t="shared" si="4"/>
        <v>0</v>
      </c>
      <c r="M91" s="1523"/>
      <c r="N91" s="339">
        <f>LOOKUP($C37,Cities!$A$3:$A$356,Cities!$V$3:$V$356)</f>
        <v>0</v>
      </c>
      <c r="O91" s="936" t="str">
        <f t="shared" si="5"/>
        <v/>
      </c>
      <c r="P91" s="785"/>
      <c r="Q91" s="785">
        <f t="shared" si="6"/>
        <v>0</v>
      </c>
      <c r="R91" s="171"/>
    </row>
    <row r="92" spans="1:18" ht="15" x14ac:dyDescent="0.2">
      <c r="A92" s="325">
        <f t="shared" si="7"/>
        <v>342</v>
      </c>
      <c r="B92" s="336" t="str">
        <f>IF(C92=1,"",LOOKUP(C92,Cities!A$3:A$343,Cities!C$3:C$343))</f>
        <v/>
      </c>
      <c r="C92" s="338">
        <f t="shared" si="8"/>
        <v>1</v>
      </c>
      <c r="D92" s="337">
        <f t="shared" si="8"/>
        <v>0</v>
      </c>
      <c r="E92" s="812">
        <f>ROUND('Print Return'!$L$37*'Overflow (8)'!M38,0)</f>
        <v>0</v>
      </c>
      <c r="F92" s="955"/>
      <c r="G92" s="1524"/>
      <c r="H92" s="1524"/>
      <c r="I92" s="1525">
        <f>IF(Data!D$33=TRUE,'Overflows Worksheet'!K380,'Overflows Worksheet'!T380)</f>
        <v>0</v>
      </c>
      <c r="J92" s="1525"/>
      <c r="K92" s="853">
        <f>LOOKUP(C38,Cities!A$3:A$343,Cities!D$3:D$343)</f>
        <v>0</v>
      </c>
      <c r="L92" s="1522">
        <f t="shared" si="4"/>
        <v>0</v>
      </c>
      <c r="M92" s="1523"/>
      <c r="N92" s="339">
        <f>LOOKUP($C38,Cities!$A$3:$A$356,Cities!$V$3:$V$356)</f>
        <v>0</v>
      </c>
      <c r="O92" s="936" t="str">
        <f t="shared" si="5"/>
        <v/>
      </c>
      <c r="P92" s="785"/>
      <c r="Q92" s="785">
        <f t="shared" si="6"/>
        <v>0</v>
      </c>
      <c r="R92" s="171"/>
    </row>
    <row r="93" spans="1:18" ht="15" x14ac:dyDescent="0.2">
      <c r="A93" s="325">
        <f t="shared" si="7"/>
        <v>343</v>
      </c>
      <c r="B93" s="336" t="str">
        <f>IF(C93=1,"",LOOKUP(C93,Cities!A$3:A$343,Cities!C$3:C$343))</f>
        <v/>
      </c>
      <c r="C93" s="338">
        <f t="shared" si="8"/>
        <v>1</v>
      </c>
      <c r="D93" s="337">
        <f t="shared" si="8"/>
        <v>0</v>
      </c>
      <c r="E93" s="812">
        <f>ROUND('Print Return'!$L$37*'Overflow (8)'!M39,0)</f>
        <v>0</v>
      </c>
      <c r="F93" s="955"/>
      <c r="G93" s="1524"/>
      <c r="H93" s="1524"/>
      <c r="I93" s="1525">
        <f>IF(Data!D$33=TRUE,'Overflows Worksheet'!K381,'Overflows Worksheet'!T381)</f>
        <v>0</v>
      </c>
      <c r="J93" s="1525"/>
      <c r="K93" s="853">
        <f>LOOKUP(C39,Cities!A$3:A$343,Cities!D$3:D$343)</f>
        <v>0</v>
      </c>
      <c r="L93" s="1522">
        <f t="shared" si="4"/>
        <v>0</v>
      </c>
      <c r="M93" s="1523"/>
      <c r="N93" s="339">
        <f>LOOKUP($C39,Cities!$A$3:$A$356,Cities!$V$3:$V$356)</f>
        <v>0</v>
      </c>
      <c r="O93" s="936" t="str">
        <f t="shared" si="5"/>
        <v/>
      </c>
      <c r="P93" s="785"/>
      <c r="Q93" s="785">
        <f t="shared" si="6"/>
        <v>0</v>
      </c>
      <c r="R93" s="171"/>
    </row>
    <row r="94" spans="1:18" ht="15" x14ac:dyDescent="0.2">
      <c r="A94" s="325">
        <f t="shared" si="7"/>
        <v>344</v>
      </c>
      <c r="B94" s="336" t="str">
        <f>IF(C94=1,"",LOOKUP(C94,Cities!A$3:A$343,Cities!C$3:C$343))</f>
        <v/>
      </c>
      <c r="C94" s="338">
        <f t="shared" si="8"/>
        <v>1</v>
      </c>
      <c r="D94" s="337">
        <f t="shared" si="8"/>
        <v>0</v>
      </c>
      <c r="E94" s="812">
        <f>ROUND('Print Return'!$L$37*'Overflow (8)'!M40,0)</f>
        <v>0</v>
      </c>
      <c r="F94" s="955"/>
      <c r="G94" s="1524"/>
      <c r="H94" s="1524"/>
      <c r="I94" s="1525">
        <f>IF(Data!D$33=TRUE,'Overflows Worksheet'!K382,'Overflows Worksheet'!T382)</f>
        <v>0</v>
      </c>
      <c r="J94" s="1525"/>
      <c r="K94" s="853">
        <f>LOOKUP(C40,Cities!A$3:A$343,Cities!D$3:D$343)</f>
        <v>0</v>
      </c>
      <c r="L94" s="1522">
        <f t="shared" si="4"/>
        <v>0</v>
      </c>
      <c r="M94" s="1523"/>
      <c r="N94" s="339">
        <f>LOOKUP($C40,Cities!$A$3:$A$356,Cities!$V$3:$V$356)</f>
        <v>0</v>
      </c>
      <c r="O94" s="936" t="str">
        <f t="shared" si="5"/>
        <v/>
      </c>
      <c r="P94" s="785"/>
      <c r="Q94" s="785">
        <f t="shared" si="6"/>
        <v>0</v>
      </c>
      <c r="R94" s="171"/>
    </row>
    <row r="95" spans="1:18" ht="15" x14ac:dyDescent="0.2">
      <c r="A95" s="325">
        <f t="shared" si="7"/>
        <v>345</v>
      </c>
      <c r="B95" s="336" t="str">
        <f>IF(C95=1,"",LOOKUP(C95,Cities!A$3:A$343,Cities!C$3:C$343))</f>
        <v/>
      </c>
      <c r="C95" s="338">
        <f t="shared" si="8"/>
        <v>1</v>
      </c>
      <c r="D95" s="337">
        <f t="shared" si="8"/>
        <v>0</v>
      </c>
      <c r="E95" s="812">
        <f>ROUND('Print Return'!$L$37*'Overflow (8)'!M41,0)</f>
        <v>0</v>
      </c>
      <c r="F95" s="955"/>
      <c r="G95" s="1524"/>
      <c r="H95" s="1524"/>
      <c r="I95" s="1525">
        <f>IF(Data!D$33=TRUE,'Overflows Worksheet'!K383,'Overflows Worksheet'!T383)</f>
        <v>0</v>
      </c>
      <c r="J95" s="1525"/>
      <c r="K95" s="853">
        <f>LOOKUP(C41,Cities!A$3:A$343,Cities!D$3:D$343)</f>
        <v>0</v>
      </c>
      <c r="L95" s="1522">
        <f t="shared" si="4"/>
        <v>0</v>
      </c>
      <c r="M95" s="1523"/>
      <c r="N95" s="339">
        <f>LOOKUP($C41,Cities!$A$3:$A$356,Cities!$V$3:$V$356)</f>
        <v>0</v>
      </c>
      <c r="O95" s="936" t="str">
        <f t="shared" si="5"/>
        <v/>
      </c>
      <c r="P95" s="785"/>
      <c r="Q95" s="785">
        <f t="shared" si="6"/>
        <v>0</v>
      </c>
      <c r="R95" s="171"/>
    </row>
    <row r="96" spans="1:18" ht="15" x14ac:dyDescent="0.2">
      <c r="A96" s="325">
        <f t="shared" si="7"/>
        <v>346</v>
      </c>
      <c r="B96" s="336" t="str">
        <f>IF(C96=1,"",LOOKUP(C96,Cities!A$3:A$343,Cities!C$3:C$343))</f>
        <v/>
      </c>
      <c r="C96" s="338">
        <f t="shared" si="8"/>
        <v>1</v>
      </c>
      <c r="D96" s="337">
        <f t="shared" si="8"/>
        <v>0</v>
      </c>
      <c r="E96" s="812">
        <f>ROUND('Print Return'!$L$37*'Overflow (8)'!M42,0)</f>
        <v>0</v>
      </c>
      <c r="F96" s="955"/>
      <c r="G96" s="1524"/>
      <c r="H96" s="1524"/>
      <c r="I96" s="1525">
        <f>IF(Data!D$33=TRUE,'Overflows Worksheet'!K384,'Overflows Worksheet'!T384)</f>
        <v>0</v>
      </c>
      <c r="J96" s="1525"/>
      <c r="K96" s="853">
        <f>LOOKUP(C42,Cities!A$3:A$343,Cities!D$3:D$343)</f>
        <v>0</v>
      </c>
      <c r="L96" s="1522">
        <f t="shared" si="4"/>
        <v>0</v>
      </c>
      <c r="M96" s="1523"/>
      <c r="N96" s="339">
        <f>LOOKUP($C42,Cities!$A$3:$A$356,Cities!$V$3:$V$356)</f>
        <v>0</v>
      </c>
      <c r="O96" s="936" t="str">
        <f t="shared" si="5"/>
        <v/>
      </c>
      <c r="P96" s="785"/>
      <c r="Q96" s="785">
        <f t="shared" si="6"/>
        <v>0</v>
      </c>
      <c r="R96" s="171"/>
    </row>
    <row r="97" spans="1:18" ht="15" x14ac:dyDescent="0.2">
      <c r="A97" s="325">
        <f t="shared" si="7"/>
        <v>347</v>
      </c>
      <c r="B97" s="336" t="str">
        <f>IF(C97=1,"",LOOKUP(C97,Cities!A$3:A$343,Cities!C$3:C$343))</f>
        <v/>
      </c>
      <c r="C97" s="338">
        <f t="shared" si="8"/>
        <v>1</v>
      </c>
      <c r="D97" s="337">
        <f t="shared" si="8"/>
        <v>0</v>
      </c>
      <c r="E97" s="812">
        <f>ROUND('Print Return'!$L$37*'Overflow (8)'!M43,0)</f>
        <v>0</v>
      </c>
      <c r="F97" s="955"/>
      <c r="G97" s="1524"/>
      <c r="H97" s="1524"/>
      <c r="I97" s="1525">
        <f>IF(Data!D$33=TRUE,'Overflows Worksheet'!K385,'Overflows Worksheet'!T385)</f>
        <v>0</v>
      </c>
      <c r="J97" s="1525"/>
      <c r="K97" s="853">
        <f>LOOKUP(C43,Cities!A$3:A$343,Cities!D$3:D$343)</f>
        <v>0</v>
      </c>
      <c r="L97" s="1522">
        <f t="shared" si="4"/>
        <v>0</v>
      </c>
      <c r="M97" s="1523"/>
      <c r="N97" s="339">
        <f>LOOKUP($C43,Cities!$A$3:$A$356,Cities!$V$3:$V$356)</f>
        <v>0</v>
      </c>
      <c r="O97" s="936" t="str">
        <f t="shared" si="5"/>
        <v/>
      </c>
      <c r="P97" s="785"/>
      <c r="Q97" s="785">
        <f t="shared" si="6"/>
        <v>0</v>
      </c>
      <c r="R97" s="171"/>
    </row>
    <row r="98" spans="1:18" ht="15" x14ac:dyDescent="0.2">
      <c r="A98" s="325">
        <f t="shared" si="7"/>
        <v>348</v>
      </c>
      <c r="B98" s="336" t="str">
        <f>IF(C98=1,"",LOOKUP(C98,Cities!A$3:A$343,Cities!C$3:C$343))</f>
        <v/>
      </c>
      <c r="C98" s="338">
        <f t="shared" ref="C98:D110" si="9">+C44</f>
        <v>1</v>
      </c>
      <c r="D98" s="337">
        <f t="shared" si="9"/>
        <v>0</v>
      </c>
      <c r="E98" s="812">
        <f>ROUND('Print Return'!$L$37*'Overflow (8)'!M44,0)</f>
        <v>0</v>
      </c>
      <c r="F98" s="955"/>
      <c r="G98" s="1524"/>
      <c r="H98" s="1524"/>
      <c r="I98" s="1525">
        <f>IF(Data!D$33=TRUE,'Overflows Worksheet'!K386,'Overflows Worksheet'!T386)</f>
        <v>0</v>
      </c>
      <c r="J98" s="1525"/>
      <c r="K98" s="853">
        <f>LOOKUP(C44,Cities!A$3:A$343,Cities!D$3:D$343)</f>
        <v>0</v>
      </c>
      <c r="L98" s="1522">
        <f t="shared" si="4"/>
        <v>0</v>
      </c>
      <c r="M98" s="1523"/>
      <c r="N98" s="339">
        <f>LOOKUP($C44,Cities!$A$3:$A$356,Cities!$V$3:$V$356)</f>
        <v>0</v>
      </c>
      <c r="O98" s="936" t="str">
        <f t="shared" si="5"/>
        <v/>
      </c>
      <c r="P98" s="785"/>
      <c r="Q98" s="785">
        <f t="shared" si="6"/>
        <v>0</v>
      </c>
      <c r="R98" s="171"/>
    </row>
    <row r="99" spans="1:18" ht="15" x14ac:dyDescent="0.2">
      <c r="A99" s="325">
        <f t="shared" si="7"/>
        <v>349</v>
      </c>
      <c r="B99" s="336" t="str">
        <f>IF(C99=1,"",LOOKUP(C99,Cities!A$3:A$343,Cities!C$3:C$343))</f>
        <v/>
      </c>
      <c r="C99" s="338">
        <f t="shared" si="9"/>
        <v>1</v>
      </c>
      <c r="D99" s="337">
        <f t="shared" si="9"/>
        <v>0</v>
      </c>
      <c r="E99" s="812">
        <f>ROUND('Print Return'!$L$37*'Overflow (8)'!M45,0)</f>
        <v>0</v>
      </c>
      <c r="F99" s="955"/>
      <c r="G99" s="1524"/>
      <c r="H99" s="1524"/>
      <c r="I99" s="1525">
        <f>IF(Data!D$33=TRUE,'Overflows Worksheet'!K387,'Overflows Worksheet'!T387)</f>
        <v>0</v>
      </c>
      <c r="J99" s="1525"/>
      <c r="K99" s="853">
        <f>LOOKUP(C45,Cities!A$3:A$343,Cities!D$3:D$343)</f>
        <v>0</v>
      </c>
      <c r="L99" s="1522">
        <f t="shared" si="4"/>
        <v>0</v>
      </c>
      <c r="M99" s="1523"/>
      <c r="N99" s="339">
        <f>LOOKUP($C45,Cities!$A$3:$A$356,Cities!$V$3:$V$356)</f>
        <v>0</v>
      </c>
      <c r="O99" s="936" t="str">
        <f t="shared" si="5"/>
        <v/>
      </c>
      <c r="P99" s="785"/>
      <c r="Q99" s="785">
        <f t="shared" si="6"/>
        <v>0</v>
      </c>
      <c r="R99" s="171"/>
    </row>
    <row r="100" spans="1:18" ht="15" x14ac:dyDescent="0.2">
      <c r="A100" s="325">
        <f t="shared" si="7"/>
        <v>350</v>
      </c>
      <c r="B100" s="336" t="str">
        <f>IF(C100=1,"",LOOKUP(C100,Cities!A$3:A$343,Cities!C$3:C$343))</f>
        <v/>
      </c>
      <c r="C100" s="338">
        <f t="shared" si="9"/>
        <v>1</v>
      </c>
      <c r="D100" s="337">
        <f t="shared" si="9"/>
        <v>0</v>
      </c>
      <c r="E100" s="812">
        <f>ROUND('Print Return'!$L$37*'Overflow (8)'!M46,0)</f>
        <v>0</v>
      </c>
      <c r="F100" s="955"/>
      <c r="G100" s="1524"/>
      <c r="H100" s="1524"/>
      <c r="I100" s="1525">
        <f>IF(Data!D$33=TRUE,'Overflows Worksheet'!K388,'Overflows Worksheet'!T388)</f>
        <v>0</v>
      </c>
      <c r="J100" s="1525"/>
      <c r="K100" s="853">
        <f>LOOKUP(C46,Cities!A$3:A$343,Cities!D$3:D$343)</f>
        <v>0</v>
      </c>
      <c r="L100" s="1522">
        <f t="shared" si="4"/>
        <v>0</v>
      </c>
      <c r="M100" s="1523"/>
      <c r="N100" s="339">
        <f>LOOKUP($C46,Cities!$A$3:$A$356,Cities!$V$3:$V$356)</f>
        <v>0</v>
      </c>
      <c r="O100" s="936" t="str">
        <f t="shared" si="5"/>
        <v/>
      </c>
      <c r="P100" s="785"/>
      <c r="Q100" s="785">
        <f t="shared" si="6"/>
        <v>0</v>
      </c>
      <c r="R100" s="171"/>
    </row>
    <row r="101" spans="1:18" ht="15" x14ac:dyDescent="0.2">
      <c r="A101" s="325">
        <f t="shared" si="7"/>
        <v>351</v>
      </c>
      <c r="B101" s="336" t="str">
        <f>IF(C101=1,"",LOOKUP(C101,Cities!A$3:A$343,Cities!C$3:C$343))</f>
        <v/>
      </c>
      <c r="C101" s="338">
        <f t="shared" si="9"/>
        <v>1</v>
      </c>
      <c r="D101" s="337">
        <f t="shared" si="9"/>
        <v>0</v>
      </c>
      <c r="E101" s="812">
        <f>ROUND('Print Return'!$L$37*'Overflow (8)'!M47,0)</f>
        <v>0</v>
      </c>
      <c r="F101" s="955"/>
      <c r="G101" s="1524"/>
      <c r="H101" s="1524"/>
      <c r="I101" s="1525">
        <f>IF(Data!D$33=TRUE,'Overflows Worksheet'!K389,'Overflows Worksheet'!T389)</f>
        <v>0</v>
      </c>
      <c r="J101" s="1525"/>
      <c r="K101" s="853">
        <f>LOOKUP(C47,Cities!A$3:A$343,Cities!D$3:D$343)</f>
        <v>0</v>
      </c>
      <c r="L101" s="1522">
        <f t="shared" si="4"/>
        <v>0</v>
      </c>
      <c r="M101" s="1523"/>
      <c r="N101" s="339">
        <f>LOOKUP($C47,Cities!$A$3:$A$356,Cities!$V$3:$V$356)</f>
        <v>0</v>
      </c>
      <c r="O101" s="936" t="str">
        <f t="shared" si="5"/>
        <v/>
      </c>
      <c r="P101" s="785"/>
      <c r="Q101" s="785">
        <f t="shared" si="6"/>
        <v>0</v>
      </c>
      <c r="R101" s="171"/>
    </row>
    <row r="102" spans="1:18" ht="15" x14ac:dyDescent="0.2">
      <c r="A102" s="325">
        <f t="shared" si="7"/>
        <v>352</v>
      </c>
      <c r="B102" s="336" t="str">
        <f>IF(C102=1,"",LOOKUP(C102,Cities!A$3:A$343,Cities!C$3:C$343))</f>
        <v/>
      </c>
      <c r="C102" s="338">
        <f t="shared" si="9"/>
        <v>1</v>
      </c>
      <c r="D102" s="337">
        <f t="shared" si="9"/>
        <v>0</v>
      </c>
      <c r="E102" s="812">
        <f>ROUND('Print Return'!$L$37*'Overflow (8)'!M48,0)</f>
        <v>0</v>
      </c>
      <c r="F102" s="955"/>
      <c r="G102" s="1524"/>
      <c r="H102" s="1524"/>
      <c r="I102" s="1525">
        <f>IF(Data!D$33=TRUE,'Overflows Worksheet'!K390,'Overflows Worksheet'!T390)</f>
        <v>0</v>
      </c>
      <c r="J102" s="1525"/>
      <c r="K102" s="853">
        <f>LOOKUP(C48,Cities!A$3:A$343,Cities!D$3:D$343)</f>
        <v>0</v>
      </c>
      <c r="L102" s="1522">
        <f t="shared" si="4"/>
        <v>0</v>
      </c>
      <c r="M102" s="1523"/>
      <c r="N102" s="339">
        <f>LOOKUP($C48,Cities!$A$3:$A$356,Cities!$V$3:$V$356)</f>
        <v>0</v>
      </c>
      <c r="O102" s="936" t="str">
        <f t="shared" si="5"/>
        <v/>
      </c>
      <c r="P102" s="785"/>
      <c r="Q102" s="785">
        <f t="shared" si="6"/>
        <v>0</v>
      </c>
      <c r="R102" s="171"/>
    </row>
    <row r="103" spans="1:18" ht="15" x14ac:dyDescent="0.2">
      <c r="A103" s="325">
        <f t="shared" si="7"/>
        <v>353</v>
      </c>
      <c r="B103" s="336" t="str">
        <f>IF(C103=1,"",LOOKUP(C103,Cities!A$3:A$343,Cities!C$3:C$343))</f>
        <v/>
      </c>
      <c r="C103" s="338">
        <f t="shared" si="9"/>
        <v>1</v>
      </c>
      <c r="D103" s="337">
        <f t="shared" si="9"/>
        <v>0</v>
      </c>
      <c r="E103" s="812">
        <f>ROUND('Print Return'!$L$37*'Overflow (8)'!M49,0)</f>
        <v>0</v>
      </c>
      <c r="F103" s="955"/>
      <c r="G103" s="1524"/>
      <c r="H103" s="1524"/>
      <c r="I103" s="1525">
        <f>IF(Data!D$33=TRUE,'Overflows Worksheet'!K391,'Overflows Worksheet'!T391)</f>
        <v>0</v>
      </c>
      <c r="J103" s="1525"/>
      <c r="K103" s="853">
        <f>LOOKUP(C49,Cities!A$3:A$343,Cities!D$3:D$343)</f>
        <v>0</v>
      </c>
      <c r="L103" s="1522">
        <f t="shared" si="4"/>
        <v>0</v>
      </c>
      <c r="M103" s="1523"/>
      <c r="N103" s="339">
        <f>LOOKUP($C49,Cities!$A$3:$A$356,Cities!$V$3:$V$356)</f>
        <v>0</v>
      </c>
      <c r="O103" s="936" t="str">
        <f t="shared" si="5"/>
        <v/>
      </c>
      <c r="P103" s="785"/>
      <c r="Q103" s="785">
        <f t="shared" si="6"/>
        <v>0</v>
      </c>
      <c r="R103" s="171"/>
    </row>
    <row r="104" spans="1:18" ht="15" x14ac:dyDescent="0.2">
      <c r="A104" s="325">
        <f t="shared" si="7"/>
        <v>354</v>
      </c>
      <c r="B104" s="336" t="str">
        <f>IF(C104=1,"",LOOKUP(C104,Cities!A$3:A$343,Cities!C$3:C$343))</f>
        <v/>
      </c>
      <c r="C104" s="338">
        <f t="shared" si="9"/>
        <v>1</v>
      </c>
      <c r="D104" s="337">
        <f t="shared" si="9"/>
        <v>0</v>
      </c>
      <c r="E104" s="812">
        <f>ROUND('Print Return'!$L$37*'Overflow (8)'!M50,0)</f>
        <v>0</v>
      </c>
      <c r="F104" s="955"/>
      <c r="G104" s="1524"/>
      <c r="H104" s="1524"/>
      <c r="I104" s="1525">
        <f>IF(Data!D$33=TRUE,'Overflows Worksheet'!K392,'Overflows Worksheet'!T392)</f>
        <v>0</v>
      </c>
      <c r="J104" s="1525"/>
      <c r="K104" s="853">
        <f>LOOKUP(C50,Cities!A$3:A$343,Cities!D$3:D$343)</f>
        <v>0</v>
      </c>
      <c r="L104" s="1522">
        <f t="shared" si="4"/>
        <v>0</v>
      </c>
      <c r="M104" s="1523"/>
      <c r="N104" s="339">
        <f>LOOKUP($C50,Cities!$A$3:$A$356,Cities!$V$3:$V$356)</f>
        <v>0</v>
      </c>
      <c r="O104" s="936" t="str">
        <f t="shared" si="5"/>
        <v/>
      </c>
      <c r="P104" s="785"/>
      <c r="Q104" s="785">
        <f t="shared" si="6"/>
        <v>0</v>
      </c>
      <c r="R104" s="171"/>
    </row>
    <row r="105" spans="1:18" ht="15" x14ac:dyDescent="0.2">
      <c r="A105" s="325">
        <f t="shared" si="7"/>
        <v>355</v>
      </c>
      <c r="B105" s="336" t="str">
        <f>IF(C105=1,"",LOOKUP(C105,Cities!A$3:A$343,Cities!C$3:C$343))</f>
        <v/>
      </c>
      <c r="C105" s="338">
        <f t="shared" si="9"/>
        <v>1</v>
      </c>
      <c r="D105" s="337">
        <f t="shared" si="9"/>
        <v>0</v>
      </c>
      <c r="E105" s="812">
        <f>ROUND('Print Return'!$L$37*'Overflow (8)'!M51,0)</f>
        <v>0</v>
      </c>
      <c r="F105" s="955"/>
      <c r="G105" s="1524"/>
      <c r="H105" s="1524"/>
      <c r="I105" s="1525">
        <f>IF(Data!D$33=TRUE,'Overflows Worksheet'!K393,'Overflows Worksheet'!T393)</f>
        <v>0</v>
      </c>
      <c r="J105" s="1525"/>
      <c r="K105" s="853">
        <f>LOOKUP(C51,Cities!A$3:A$343,Cities!D$3:D$343)</f>
        <v>0</v>
      </c>
      <c r="L105" s="1522">
        <f t="shared" si="4"/>
        <v>0</v>
      </c>
      <c r="M105" s="1523"/>
      <c r="N105" s="339">
        <f>LOOKUP($C51,Cities!$A$3:$A$356,Cities!$V$3:$V$356)</f>
        <v>0</v>
      </c>
      <c r="O105" s="936" t="str">
        <f t="shared" si="5"/>
        <v/>
      </c>
      <c r="P105" s="785"/>
      <c r="Q105" s="785">
        <f t="shared" si="6"/>
        <v>0</v>
      </c>
      <c r="R105" s="171"/>
    </row>
    <row r="106" spans="1:18" ht="15" x14ac:dyDescent="0.2">
      <c r="A106" s="325">
        <f t="shared" si="7"/>
        <v>356</v>
      </c>
      <c r="B106" s="336" t="str">
        <f>IF(C106=1,"",LOOKUP(C106,Cities!A$3:A$343,Cities!C$3:C$343))</f>
        <v/>
      </c>
      <c r="C106" s="338">
        <f t="shared" si="9"/>
        <v>1</v>
      </c>
      <c r="D106" s="337">
        <f t="shared" si="9"/>
        <v>0</v>
      </c>
      <c r="E106" s="812">
        <f>ROUND('Print Return'!$L$37*'Overflow (8)'!M52,0)</f>
        <v>0</v>
      </c>
      <c r="F106" s="955"/>
      <c r="G106" s="1524"/>
      <c r="H106" s="1524"/>
      <c r="I106" s="1525">
        <f>IF(Data!D$33=TRUE,'Overflows Worksheet'!K394,'Overflows Worksheet'!T394)</f>
        <v>0</v>
      </c>
      <c r="J106" s="1525"/>
      <c r="K106" s="853">
        <f>LOOKUP(C52,Cities!A$3:A$343,Cities!D$3:D$343)</f>
        <v>0</v>
      </c>
      <c r="L106" s="1522">
        <f t="shared" si="4"/>
        <v>0</v>
      </c>
      <c r="M106" s="1523"/>
      <c r="N106" s="339">
        <f>LOOKUP($C52,Cities!$A$3:$A$356,Cities!$V$3:$V$356)</f>
        <v>0</v>
      </c>
      <c r="O106" s="936" t="str">
        <f t="shared" si="5"/>
        <v/>
      </c>
      <c r="P106" s="785"/>
      <c r="Q106" s="785">
        <f t="shared" si="6"/>
        <v>0</v>
      </c>
      <c r="R106" s="171"/>
    </row>
    <row r="107" spans="1:18" ht="15" x14ac:dyDescent="0.2">
      <c r="A107" s="325">
        <f t="shared" si="7"/>
        <v>357</v>
      </c>
      <c r="B107" s="336" t="str">
        <f>IF(C107=1,"",LOOKUP(C107,Cities!A$3:A$343,Cities!C$3:C$343))</f>
        <v/>
      </c>
      <c r="C107" s="338">
        <f t="shared" si="9"/>
        <v>1</v>
      </c>
      <c r="D107" s="337">
        <f t="shared" si="9"/>
        <v>0</v>
      </c>
      <c r="E107" s="812">
        <f>ROUND('Print Return'!$L$37*'Overflow (8)'!M53,0)</f>
        <v>0</v>
      </c>
      <c r="F107" s="955"/>
      <c r="G107" s="1524"/>
      <c r="H107" s="1524"/>
      <c r="I107" s="1525">
        <f>IF(Data!D$33=TRUE,'Overflows Worksheet'!K395,'Overflows Worksheet'!T395)</f>
        <v>0</v>
      </c>
      <c r="J107" s="1525"/>
      <c r="K107" s="853">
        <f>LOOKUP(C53,Cities!A$3:A$343,Cities!D$3:D$343)</f>
        <v>0</v>
      </c>
      <c r="L107" s="1522">
        <f t="shared" si="4"/>
        <v>0</v>
      </c>
      <c r="M107" s="1523"/>
      <c r="N107" s="339">
        <f>LOOKUP($C53,Cities!$A$3:$A$356,Cities!$V$3:$V$356)</f>
        <v>0</v>
      </c>
      <c r="O107" s="936" t="str">
        <f t="shared" si="5"/>
        <v/>
      </c>
      <c r="P107" s="785"/>
      <c r="Q107" s="785">
        <f t="shared" si="6"/>
        <v>0</v>
      </c>
      <c r="R107" s="171"/>
    </row>
    <row r="108" spans="1:18" ht="15" x14ac:dyDescent="0.2">
      <c r="A108" s="325">
        <f t="shared" si="7"/>
        <v>358</v>
      </c>
      <c r="B108" s="336" t="str">
        <f>IF(C108=1,"",LOOKUP(C108,Cities!A$3:A$343,Cities!C$3:C$343))</f>
        <v/>
      </c>
      <c r="C108" s="338">
        <f t="shared" si="9"/>
        <v>1</v>
      </c>
      <c r="D108" s="337">
        <f t="shared" si="9"/>
        <v>0</v>
      </c>
      <c r="E108" s="812">
        <f>ROUND('Print Return'!$L$37*'Overflow (8)'!M54,0)</f>
        <v>0</v>
      </c>
      <c r="F108" s="955"/>
      <c r="G108" s="1524"/>
      <c r="H108" s="1524"/>
      <c r="I108" s="1525">
        <f>IF(Data!D$33=TRUE,'Overflows Worksheet'!K396,'Overflows Worksheet'!T396)</f>
        <v>0</v>
      </c>
      <c r="J108" s="1525"/>
      <c r="K108" s="853">
        <f>LOOKUP(C54,Cities!A$3:A$343,Cities!D$3:D$343)</f>
        <v>0</v>
      </c>
      <c r="L108" s="1522">
        <f t="shared" si="4"/>
        <v>0</v>
      </c>
      <c r="M108" s="1523"/>
      <c r="N108" s="339">
        <f>LOOKUP($C54,Cities!$A$3:$A$356,Cities!$V$3:$V$356)</f>
        <v>0</v>
      </c>
      <c r="O108" s="936" t="str">
        <f t="shared" si="5"/>
        <v/>
      </c>
      <c r="P108" s="785"/>
      <c r="Q108" s="785">
        <f t="shared" si="6"/>
        <v>0</v>
      </c>
      <c r="R108" s="171"/>
    </row>
    <row r="109" spans="1:18" ht="15" x14ac:dyDescent="0.2">
      <c r="A109" s="325">
        <f t="shared" si="7"/>
        <v>359</v>
      </c>
      <c r="B109" s="336" t="str">
        <f>IF(C109=1,"",LOOKUP(C109,Cities!A$3:A$343,Cities!C$3:C$343))</f>
        <v/>
      </c>
      <c r="C109" s="338">
        <f t="shared" si="9"/>
        <v>1</v>
      </c>
      <c r="D109" s="337">
        <f t="shared" si="9"/>
        <v>0</v>
      </c>
      <c r="E109" s="812">
        <f>ROUND('Print Return'!$L$37*'Overflow (8)'!M55,0)</f>
        <v>0</v>
      </c>
      <c r="F109" s="955"/>
      <c r="G109" s="1524"/>
      <c r="H109" s="1524"/>
      <c r="I109" s="1525">
        <f>IF(Data!D$33=TRUE,'Overflows Worksheet'!K397,'Overflows Worksheet'!T397)</f>
        <v>0</v>
      </c>
      <c r="J109" s="1525"/>
      <c r="K109" s="853">
        <f>LOOKUP(C55,Cities!A$3:A$343,Cities!D$3:D$343)</f>
        <v>0</v>
      </c>
      <c r="L109" s="1522">
        <f t="shared" si="4"/>
        <v>0</v>
      </c>
      <c r="M109" s="1523"/>
      <c r="N109" s="339">
        <f>LOOKUP($C55,Cities!$A$3:$A$356,Cities!$V$3:$V$356)</f>
        <v>0</v>
      </c>
      <c r="O109" s="936" t="str">
        <f t="shared" si="5"/>
        <v/>
      </c>
      <c r="P109" s="785"/>
      <c r="Q109" s="785">
        <f t="shared" si="6"/>
        <v>0</v>
      </c>
      <c r="R109" s="171"/>
    </row>
    <row r="110" spans="1:18" ht="15.75" thickBot="1" x14ac:dyDescent="0.25">
      <c r="A110" s="325">
        <f t="shared" si="7"/>
        <v>360</v>
      </c>
      <c r="B110" s="336" t="str">
        <f>IF(C110=1,"",LOOKUP(C110,Cities!A$3:A$343,Cities!C$3:C$343))</f>
        <v/>
      </c>
      <c r="C110" s="338">
        <f t="shared" si="9"/>
        <v>1</v>
      </c>
      <c r="D110" s="337">
        <f t="shared" si="9"/>
        <v>0</v>
      </c>
      <c r="E110" s="814">
        <f>ROUND('Print Return'!$L$37*'Overflow (8)'!M56,0)</f>
        <v>0</v>
      </c>
      <c r="F110" s="956"/>
      <c r="G110" s="1564"/>
      <c r="H110" s="1564"/>
      <c r="I110" s="1525">
        <f>IF(Data!D$33=TRUE,'Overflows Worksheet'!K398,'Overflows Worksheet'!T398)</f>
        <v>0</v>
      </c>
      <c r="J110" s="1525"/>
      <c r="K110" s="854">
        <f>LOOKUP(C56,Cities!A$3:A$343,Cities!D$3:D$343)</f>
        <v>0</v>
      </c>
      <c r="L110" s="1562">
        <f t="shared" si="4"/>
        <v>0</v>
      </c>
      <c r="M110" s="1563"/>
      <c r="N110" s="339">
        <f>LOOKUP($C56,Cities!$A$3:$A$356,Cities!$V$3:$V$356)</f>
        <v>0</v>
      </c>
      <c r="O110" s="936" t="str">
        <f t="shared" si="5"/>
        <v/>
      </c>
      <c r="P110" s="785"/>
      <c r="Q110" s="785">
        <f t="shared" si="6"/>
        <v>0</v>
      </c>
      <c r="R110" s="171"/>
    </row>
    <row r="111" spans="1:18" ht="15" x14ac:dyDescent="0.2">
      <c r="B111" s="6" t="s">
        <v>1791</v>
      </c>
      <c r="C111" s="6"/>
      <c r="D111" s="6"/>
      <c r="E111" s="813">
        <f>SUM(E66:E110)</f>
        <v>0</v>
      </c>
      <c r="F111" s="958">
        <f>SUM(F66:F110)</f>
        <v>0</v>
      </c>
      <c r="G111" s="1561">
        <f>SUM(G66:G110)</f>
        <v>0</v>
      </c>
      <c r="H111" s="1561"/>
      <c r="I111" s="1566">
        <f>SUM(I66:I110)</f>
        <v>0</v>
      </c>
      <c r="J111" s="1566"/>
      <c r="K111" s="855"/>
      <c r="L111" s="1561">
        <f>SUM(L66:L110)</f>
        <v>0</v>
      </c>
      <c r="M111" s="1561"/>
      <c r="O111" s="786"/>
      <c r="P111" s="171"/>
      <c r="Q111" s="785">
        <f>SUM(Q66:Q110)</f>
        <v>0</v>
      </c>
      <c r="R111" s="171"/>
    </row>
    <row r="112" spans="1:18" s="6" customFormat="1" ht="15" x14ac:dyDescent="0.2">
      <c r="O112" s="850"/>
      <c r="P112" s="602"/>
      <c r="Q112" s="602"/>
      <c r="R112" s="602"/>
    </row>
  </sheetData>
  <sheetProtection algorithmName="SHA-512" hashValue="b1m+TefLLfcjElqMmXTU7hlyBIKS8zG7LLieKXxtCGkf566Yd/9GC2bQOdhybDwd2Apo+mqucuLRlJAWj4gjwA==" saltValue="c1ffdZZhaTvykCRYxl36SA==" spinCount="100000" sheet="1" objects="1" scenarios="1"/>
  <mergeCells count="171">
    <mergeCell ref="G110:H110"/>
    <mergeCell ref="I110:J110"/>
    <mergeCell ref="L110:M110"/>
    <mergeCell ref="G111:H111"/>
    <mergeCell ref="I111:J111"/>
    <mergeCell ref="L111:M111"/>
    <mergeCell ref="G108:H108"/>
    <mergeCell ref="I108:J108"/>
    <mergeCell ref="L108:M108"/>
    <mergeCell ref="G109:H109"/>
    <mergeCell ref="I109:J109"/>
    <mergeCell ref="L109:M109"/>
    <mergeCell ref="G106:H106"/>
    <mergeCell ref="I106:J106"/>
    <mergeCell ref="L106:M106"/>
    <mergeCell ref="G107:H107"/>
    <mergeCell ref="I107:J107"/>
    <mergeCell ref="L107:M107"/>
    <mergeCell ref="G104:H104"/>
    <mergeCell ref="I104:J104"/>
    <mergeCell ref="L104:M104"/>
    <mergeCell ref="G105:H105"/>
    <mergeCell ref="I105:J105"/>
    <mergeCell ref="L105:M105"/>
    <mergeCell ref="G102:H102"/>
    <mergeCell ref="I102:J102"/>
    <mergeCell ref="L102:M102"/>
    <mergeCell ref="G103:H103"/>
    <mergeCell ref="I103:J103"/>
    <mergeCell ref="L103:M103"/>
    <mergeCell ref="G100:H100"/>
    <mergeCell ref="I100:J100"/>
    <mergeCell ref="L100:M100"/>
    <mergeCell ref="G101:H101"/>
    <mergeCell ref="I101:J101"/>
    <mergeCell ref="L101:M101"/>
    <mergeCell ref="G98:H98"/>
    <mergeCell ref="I98:J98"/>
    <mergeCell ref="L98:M98"/>
    <mergeCell ref="G99:H99"/>
    <mergeCell ref="I99:J99"/>
    <mergeCell ref="L99:M99"/>
    <mergeCell ref="G96:H96"/>
    <mergeCell ref="I96:J96"/>
    <mergeCell ref="L96:M96"/>
    <mergeCell ref="G97:H97"/>
    <mergeCell ref="I97:J97"/>
    <mergeCell ref="L97:M97"/>
    <mergeCell ref="G94:H94"/>
    <mergeCell ref="I94:J94"/>
    <mergeCell ref="L94:M94"/>
    <mergeCell ref="G95:H95"/>
    <mergeCell ref="I95:J95"/>
    <mergeCell ref="L95:M95"/>
    <mergeCell ref="G92:H92"/>
    <mergeCell ref="I92:J92"/>
    <mergeCell ref="L92:M92"/>
    <mergeCell ref="G93:H93"/>
    <mergeCell ref="I93:J93"/>
    <mergeCell ref="L93:M93"/>
    <mergeCell ref="G90:H90"/>
    <mergeCell ref="I90:J90"/>
    <mergeCell ref="L90:M90"/>
    <mergeCell ref="G91:H91"/>
    <mergeCell ref="I91:J91"/>
    <mergeCell ref="L91:M91"/>
    <mergeCell ref="G88:H88"/>
    <mergeCell ref="I88:J88"/>
    <mergeCell ref="L88:M88"/>
    <mergeCell ref="G89:H89"/>
    <mergeCell ref="I89:J89"/>
    <mergeCell ref="L89:M89"/>
    <mergeCell ref="G86:H86"/>
    <mergeCell ref="I86:J86"/>
    <mergeCell ref="L86:M86"/>
    <mergeCell ref="G87:H87"/>
    <mergeCell ref="I87:J87"/>
    <mergeCell ref="L87:M87"/>
    <mergeCell ref="G84:H84"/>
    <mergeCell ref="I84:J84"/>
    <mergeCell ref="L84:M84"/>
    <mergeCell ref="G85:H85"/>
    <mergeCell ref="I85:J85"/>
    <mergeCell ref="L85:M85"/>
    <mergeCell ref="G82:H82"/>
    <mergeCell ref="I82:J82"/>
    <mergeCell ref="L82:M82"/>
    <mergeCell ref="G83:H83"/>
    <mergeCell ref="I83:J83"/>
    <mergeCell ref="L83:M83"/>
    <mergeCell ref="G80:H80"/>
    <mergeCell ref="I80:J80"/>
    <mergeCell ref="L80:M80"/>
    <mergeCell ref="G81:H81"/>
    <mergeCell ref="I81:J81"/>
    <mergeCell ref="L81:M81"/>
    <mergeCell ref="G78:H78"/>
    <mergeCell ref="I78:J78"/>
    <mergeCell ref="L78:M78"/>
    <mergeCell ref="G79:H79"/>
    <mergeCell ref="I79:J79"/>
    <mergeCell ref="L79:M79"/>
    <mergeCell ref="G76:H76"/>
    <mergeCell ref="I76:J76"/>
    <mergeCell ref="L76:M76"/>
    <mergeCell ref="G77:H77"/>
    <mergeCell ref="I77:J77"/>
    <mergeCell ref="L77:M77"/>
    <mergeCell ref="G74:H74"/>
    <mergeCell ref="I74:J74"/>
    <mergeCell ref="L74:M74"/>
    <mergeCell ref="G75:H75"/>
    <mergeCell ref="I75:J75"/>
    <mergeCell ref="L75:M75"/>
    <mergeCell ref="G72:H72"/>
    <mergeCell ref="I72:J72"/>
    <mergeCell ref="L72:M72"/>
    <mergeCell ref="G73:H73"/>
    <mergeCell ref="I73:J73"/>
    <mergeCell ref="L73:M73"/>
    <mergeCell ref="G70:H70"/>
    <mergeCell ref="I70:J70"/>
    <mergeCell ref="L70:M70"/>
    <mergeCell ref="G71:H71"/>
    <mergeCell ref="I71:J71"/>
    <mergeCell ref="L71:M71"/>
    <mergeCell ref="G68:H68"/>
    <mergeCell ref="I68:J68"/>
    <mergeCell ref="L68:M68"/>
    <mergeCell ref="G69:H69"/>
    <mergeCell ref="I69:J69"/>
    <mergeCell ref="L69:M69"/>
    <mergeCell ref="O64:O65"/>
    <mergeCell ref="L65:M65"/>
    <mergeCell ref="G66:H66"/>
    <mergeCell ref="I66:J66"/>
    <mergeCell ref="L66:M66"/>
    <mergeCell ref="G67:H67"/>
    <mergeCell ref="I67:J67"/>
    <mergeCell ref="L67:M67"/>
    <mergeCell ref="B62:J62"/>
    <mergeCell ref="K62:M62"/>
    <mergeCell ref="D64:D65"/>
    <mergeCell ref="E64:E65"/>
    <mergeCell ref="F64:F65"/>
    <mergeCell ref="G64:H65"/>
    <mergeCell ref="I64:J65"/>
    <mergeCell ref="L64:M64"/>
    <mergeCell ref="D10:D11"/>
    <mergeCell ref="E10:H10"/>
    <mergeCell ref="I10:J10"/>
    <mergeCell ref="K10:L10"/>
    <mergeCell ref="K58:K59"/>
    <mergeCell ref="A59:B59"/>
    <mergeCell ref="D59:J60"/>
    <mergeCell ref="L59:M59"/>
    <mergeCell ref="A60:B60"/>
    <mergeCell ref="L60:M60"/>
    <mergeCell ref="B6:B8"/>
    <mergeCell ref="E6:F6"/>
    <mergeCell ref="I6:J6"/>
    <mergeCell ref="E7:F7"/>
    <mergeCell ref="E8:F8"/>
    <mergeCell ref="I8:J8"/>
    <mergeCell ref="A1:B1"/>
    <mergeCell ref="D1:K2"/>
    <mergeCell ref="L1:M1"/>
    <mergeCell ref="A2:B2"/>
    <mergeCell ref="L2:M2"/>
    <mergeCell ref="B4:J4"/>
    <mergeCell ref="K4:M4"/>
  </mergeCells>
  <conditionalFormatting sqref="G66:H110">
    <cfRule type="expression" dxfId="10" priority="3" stopIfTrue="1">
      <formula>$N66=0</formula>
    </cfRule>
  </conditionalFormatting>
  <conditionalFormatting sqref="E66:E110 I66:L110">
    <cfRule type="expression" dxfId="9" priority="4" stopIfTrue="1">
      <formula>$D66=0</formula>
    </cfRule>
  </conditionalFormatting>
  <conditionalFormatting sqref="N66:N110">
    <cfRule type="expression" dxfId="8" priority="5" stopIfTrue="1">
      <formula>"LOOKUP(C12,Cities!$A$3:$A$169,Cities!$L$3:$L$169)=0"</formula>
    </cfRule>
  </conditionalFormatting>
  <pageMargins left="0.5" right="0.5" top="0.5" bottom="0.5" header="0.5" footer="0.5"/>
  <pageSetup scale="75" orientation="portrait" r:id="rId1"/>
  <headerFooter alignWithMargins="0"/>
  <rowBreaks count="1" manualBreakCount="1">
    <brk id="5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5361" r:id="rId4" name="Drop Down 1">
              <controlPr defaultSize="0" autoLine="0" autoPict="0">
                <anchor moveWithCells="1">
                  <from>
                    <xdr:col>1</xdr:col>
                    <xdr:colOff>9525</xdr:colOff>
                    <xdr:row>11</xdr:row>
                    <xdr:rowOff>9525</xdr:rowOff>
                  </from>
                  <to>
                    <xdr:col>1</xdr:col>
                    <xdr:colOff>1924050</xdr:colOff>
                    <xdr:row>11</xdr:row>
                    <xdr:rowOff>209550</xdr:rowOff>
                  </to>
                </anchor>
              </controlPr>
            </control>
          </mc:Choice>
        </mc:AlternateContent>
        <mc:AlternateContent xmlns:mc="http://schemas.openxmlformats.org/markup-compatibility/2006">
          <mc:Choice Requires="x14">
            <control shapeId="15362" r:id="rId5" name="Drop Down 2">
              <controlPr defaultSize="0" autoLine="0" autoPict="0">
                <anchor moveWithCells="1">
                  <from>
                    <xdr:col>1</xdr:col>
                    <xdr:colOff>9525</xdr:colOff>
                    <xdr:row>12</xdr:row>
                    <xdr:rowOff>9525</xdr:rowOff>
                  </from>
                  <to>
                    <xdr:col>1</xdr:col>
                    <xdr:colOff>1924050</xdr:colOff>
                    <xdr:row>12</xdr:row>
                    <xdr:rowOff>209550</xdr:rowOff>
                  </to>
                </anchor>
              </controlPr>
            </control>
          </mc:Choice>
        </mc:AlternateContent>
        <mc:AlternateContent xmlns:mc="http://schemas.openxmlformats.org/markup-compatibility/2006">
          <mc:Choice Requires="x14">
            <control shapeId="15363" r:id="rId6" name="Drop Down 3">
              <controlPr defaultSize="0" autoLine="0" autoPict="0">
                <anchor moveWithCells="1">
                  <from>
                    <xdr:col>1</xdr:col>
                    <xdr:colOff>9525</xdr:colOff>
                    <xdr:row>13</xdr:row>
                    <xdr:rowOff>19050</xdr:rowOff>
                  </from>
                  <to>
                    <xdr:col>1</xdr:col>
                    <xdr:colOff>1924050</xdr:colOff>
                    <xdr:row>13</xdr:row>
                    <xdr:rowOff>219075</xdr:rowOff>
                  </to>
                </anchor>
              </controlPr>
            </control>
          </mc:Choice>
        </mc:AlternateContent>
        <mc:AlternateContent xmlns:mc="http://schemas.openxmlformats.org/markup-compatibility/2006">
          <mc:Choice Requires="x14">
            <control shapeId="15364" r:id="rId7" name="Drop Down 4">
              <controlPr defaultSize="0" autoLine="0" autoPict="0">
                <anchor moveWithCells="1">
                  <from>
                    <xdr:col>1</xdr:col>
                    <xdr:colOff>9525</xdr:colOff>
                    <xdr:row>14</xdr:row>
                    <xdr:rowOff>19050</xdr:rowOff>
                  </from>
                  <to>
                    <xdr:col>1</xdr:col>
                    <xdr:colOff>1924050</xdr:colOff>
                    <xdr:row>14</xdr:row>
                    <xdr:rowOff>219075</xdr:rowOff>
                  </to>
                </anchor>
              </controlPr>
            </control>
          </mc:Choice>
        </mc:AlternateContent>
        <mc:AlternateContent xmlns:mc="http://schemas.openxmlformats.org/markup-compatibility/2006">
          <mc:Choice Requires="x14">
            <control shapeId="15365" r:id="rId8" name="Drop Down 5">
              <controlPr defaultSize="0" autoLine="0" autoPict="0">
                <anchor moveWithCells="1">
                  <from>
                    <xdr:col>1</xdr:col>
                    <xdr:colOff>9525</xdr:colOff>
                    <xdr:row>15</xdr:row>
                    <xdr:rowOff>19050</xdr:rowOff>
                  </from>
                  <to>
                    <xdr:col>1</xdr:col>
                    <xdr:colOff>1924050</xdr:colOff>
                    <xdr:row>15</xdr:row>
                    <xdr:rowOff>219075</xdr:rowOff>
                  </to>
                </anchor>
              </controlPr>
            </control>
          </mc:Choice>
        </mc:AlternateContent>
        <mc:AlternateContent xmlns:mc="http://schemas.openxmlformats.org/markup-compatibility/2006">
          <mc:Choice Requires="x14">
            <control shapeId="15366" r:id="rId9" name="Drop Down 6">
              <controlPr defaultSize="0" autoLine="0" autoPict="0">
                <anchor moveWithCells="1">
                  <from>
                    <xdr:col>1</xdr:col>
                    <xdr:colOff>9525</xdr:colOff>
                    <xdr:row>16</xdr:row>
                    <xdr:rowOff>19050</xdr:rowOff>
                  </from>
                  <to>
                    <xdr:col>1</xdr:col>
                    <xdr:colOff>1924050</xdr:colOff>
                    <xdr:row>16</xdr:row>
                    <xdr:rowOff>219075</xdr:rowOff>
                  </to>
                </anchor>
              </controlPr>
            </control>
          </mc:Choice>
        </mc:AlternateContent>
        <mc:AlternateContent xmlns:mc="http://schemas.openxmlformats.org/markup-compatibility/2006">
          <mc:Choice Requires="x14">
            <control shapeId="15367" r:id="rId10" name="Drop Down 7">
              <controlPr defaultSize="0" autoLine="0" autoPict="0">
                <anchor moveWithCells="1">
                  <from>
                    <xdr:col>1</xdr:col>
                    <xdr:colOff>9525</xdr:colOff>
                    <xdr:row>17</xdr:row>
                    <xdr:rowOff>19050</xdr:rowOff>
                  </from>
                  <to>
                    <xdr:col>1</xdr:col>
                    <xdr:colOff>1924050</xdr:colOff>
                    <xdr:row>17</xdr:row>
                    <xdr:rowOff>219075</xdr:rowOff>
                  </to>
                </anchor>
              </controlPr>
            </control>
          </mc:Choice>
        </mc:AlternateContent>
        <mc:AlternateContent xmlns:mc="http://schemas.openxmlformats.org/markup-compatibility/2006">
          <mc:Choice Requires="x14">
            <control shapeId="15368" r:id="rId11" name="Drop Down 8">
              <controlPr defaultSize="0" autoLine="0" autoPict="0">
                <anchor moveWithCells="1">
                  <from>
                    <xdr:col>1</xdr:col>
                    <xdr:colOff>9525</xdr:colOff>
                    <xdr:row>18</xdr:row>
                    <xdr:rowOff>19050</xdr:rowOff>
                  </from>
                  <to>
                    <xdr:col>1</xdr:col>
                    <xdr:colOff>1924050</xdr:colOff>
                    <xdr:row>18</xdr:row>
                    <xdr:rowOff>219075</xdr:rowOff>
                  </to>
                </anchor>
              </controlPr>
            </control>
          </mc:Choice>
        </mc:AlternateContent>
        <mc:AlternateContent xmlns:mc="http://schemas.openxmlformats.org/markup-compatibility/2006">
          <mc:Choice Requires="x14">
            <control shapeId="15369" r:id="rId12" name="Drop Down 9">
              <controlPr defaultSize="0" autoLine="0" autoPict="0">
                <anchor moveWithCells="1">
                  <from>
                    <xdr:col>1</xdr:col>
                    <xdr:colOff>9525</xdr:colOff>
                    <xdr:row>19</xdr:row>
                    <xdr:rowOff>28575</xdr:rowOff>
                  </from>
                  <to>
                    <xdr:col>1</xdr:col>
                    <xdr:colOff>1924050</xdr:colOff>
                    <xdr:row>20</xdr:row>
                    <xdr:rowOff>0</xdr:rowOff>
                  </to>
                </anchor>
              </controlPr>
            </control>
          </mc:Choice>
        </mc:AlternateContent>
        <mc:AlternateContent xmlns:mc="http://schemas.openxmlformats.org/markup-compatibility/2006">
          <mc:Choice Requires="x14">
            <control shapeId="15370" r:id="rId13" name="Drop Down 10">
              <controlPr defaultSize="0" autoLine="0" autoPict="0">
                <anchor moveWithCells="1">
                  <from>
                    <xdr:col>1</xdr:col>
                    <xdr:colOff>9525</xdr:colOff>
                    <xdr:row>20</xdr:row>
                    <xdr:rowOff>19050</xdr:rowOff>
                  </from>
                  <to>
                    <xdr:col>1</xdr:col>
                    <xdr:colOff>1924050</xdr:colOff>
                    <xdr:row>20</xdr:row>
                    <xdr:rowOff>219075</xdr:rowOff>
                  </to>
                </anchor>
              </controlPr>
            </control>
          </mc:Choice>
        </mc:AlternateContent>
        <mc:AlternateContent xmlns:mc="http://schemas.openxmlformats.org/markup-compatibility/2006">
          <mc:Choice Requires="x14">
            <control shapeId="15371" r:id="rId14" name="Drop Down 11">
              <controlPr defaultSize="0" autoLine="0" autoPict="0">
                <anchor moveWithCells="1">
                  <from>
                    <xdr:col>1</xdr:col>
                    <xdr:colOff>9525</xdr:colOff>
                    <xdr:row>21</xdr:row>
                    <xdr:rowOff>28575</xdr:rowOff>
                  </from>
                  <to>
                    <xdr:col>1</xdr:col>
                    <xdr:colOff>1924050</xdr:colOff>
                    <xdr:row>22</xdr:row>
                    <xdr:rowOff>0</xdr:rowOff>
                  </to>
                </anchor>
              </controlPr>
            </control>
          </mc:Choice>
        </mc:AlternateContent>
        <mc:AlternateContent xmlns:mc="http://schemas.openxmlformats.org/markup-compatibility/2006">
          <mc:Choice Requires="x14">
            <control shapeId="15372" r:id="rId15" name="Drop Down 12">
              <controlPr defaultSize="0" autoLine="0" autoPict="0">
                <anchor moveWithCells="1">
                  <from>
                    <xdr:col>1</xdr:col>
                    <xdr:colOff>9525</xdr:colOff>
                    <xdr:row>22</xdr:row>
                    <xdr:rowOff>28575</xdr:rowOff>
                  </from>
                  <to>
                    <xdr:col>1</xdr:col>
                    <xdr:colOff>1924050</xdr:colOff>
                    <xdr:row>23</xdr:row>
                    <xdr:rowOff>0</xdr:rowOff>
                  </to>
                </anchor>
              </controlPr>
            </control>
          </mc:Choice>
        </mc:AlternateContent>
        <mc:AlternateContent xmlns:mc="http://schemas.openxmlformats.org/markup-compatibility/2006">
          <mc:Choice Requires="x14">
            <control shapeId="15373" r:id="rId16" name="Drop Down 13">
              <controlPr defaultSize="0" autoLine="0" autoPict="0">
                <anchor moveWithCells="1">
                  <from>
                    <xdr:col>1</xdr:col>
                    <xdr:colOff>9525</xdr:colOff>
                    <xdr:row>23</xdr:row>
                    <xdr:rowOff>19050</xdr:rowOff>
                  </from>
                  <to>
                    <xdr:col>1</xdr:col>
                    <xdr:colOff>1924050</xdr:colOff>
                    <xdr:row>23</xdr:row>
                    <xdr:rowOff>219075</xdr:rowOff>
                  </to>
                </anchor>
              </controlPr>
            </control>
          </mc:Choice>
        </mc:AlternateContent>
        <mc:AlternateContent xmlns:mc="http://schemas.openxmlformats.org/markup-compatibility/2006">
          <mc:Choice Requires="x14">
            <control shapeId="15374" r:id="rId17" name="Drop Down 14">
              <controlPr defaultSize="0" autoLine="0" autoPict="0">
                <anchor moveWithCells="1">
                  <from>
                    <xdr:col>1</xdr:col>
                    <xdr:colOff>9525</xdr:colOff>
                    <xdr:row>24</xdr:row>
                    <xdr:rowOff>28575</xdr:rowOff>
                  </from>
                  <to>
                    <xdr:col>1</xdr:col>
                    <xdr:colOff>1924050</xdr:colOff>
                    <xdr:row>25</xdr:row>
                    <xdr:rowOff>0</xdr:rowOff>
                  </to>
                </anchor>
              </controlPr>
            </control>
          </mc:Choice>
        </mc:AlternateContent>
        <mc:AlternateContent xmlns:mc="http://schemas.openxmlformats.org/markup-compatibility/2006">
          <mc:Choice Requires="x14">
            <control shapeId="15375" r:id="rId18" name="Drop Down 15">
              <controlPr defaultSize="0" autoLine="0" autoPict="0">
                <anchor moveWithCells="1">
                  <from>
                    <xdr:col>1</xdr:col>
                    <xdr:colOff>9525</xdr:colOff>
                    <xdr:row>25</xdr:row>
                    <xdr:rowOff>19050</xdr:rowOff>
                  </from>
                  <to>
                    <xdr:col>1</xdr:col>
                    <xdr:colOff>1924050</xdr:colOff>
                    <xdr:row>25</xdr:row>
                    <xdr:rowOff>219075</xdr:rowOff>
                  </to>
                </anchor>
              </controlPr>
            </control>
          </mc:Choice>
        </mc:AlternateContent>
        <mc:AlternateContent xmlns:mc="http://schemas.openxmlformats.org/markup-compatibility/2006">
          <mc:Choice Requires="x14">
            <control shapeId="15376" r:id="rId19" name="Drop Down 16">
              <controlPr defaultSize="0" autoLine="0" autoPict="0">
                <anchor moveWithCells="1">
                  <from>
                    <xdr:col>1</xdr:col>
                    <xdr:colOff>9525</xdr:colOff>
                    <xdr:row>26</xdr:row>
                    <xdr:rowOff>19050</xdr:rowOff>
                  </from>
                  <to>
                    <xdr:col>1</xdr:col>
                    <xdr:colOff>1924050</xdr:colOff>
                    <xdr:row>26</xdr:row>
                    <xdr:rowOff>219075</xdr:rowOff>
                  </to>
                </anchor>
              </controlPr>
            </control>
          </mc:Choice>
        </mc:AlternateContent>
        <mc:AlternateContent xmlns:mc="http://schemas.openxmlformats.org/markup-compatibility/2006">
          <mc:Choice Requires="x14">
            <control shapeId="15377" r:id="rId20" name="Drop Down 17">
              <controlPr defaultSize="0" autoLine="0" autoPict="0">
                <anchor moveWithCells="1">
                  <from>
                    <xdr:col>1</xdr:col>
                    <xdr:colOff>9525</xdr:colOff>
                    <xdr:row>27</xdr:row>
                    <xdr:rowOff>19050</xdr:rowOff>
                  </from>
                  <to>
                    <xdr:col>1</xdr:col>
                    <xdr:colOff>1924050</xdr:colOff>
                    <xdr:row>27</xdr:row>
                    <xdr:rowOff>219075</xdr:rowOff>
                  </to>
                </anchor>
              </controlPr>
            </control>
          </mc:Choice>
        </mc:AlternateContent>
        <mc:AlternateContent xmlns:mc="http://schemas.openxmlformats.org/markup-compatibility/2006">
          <mc:Choice Requires="x14">
            <control shapeId="15378" r:id="rId21" name="Drop Down 18">
              <controlPr defaultSize="0" autoLine="0" autoPict="0">
                <anchor moveWithCells="1">
                  <from>
                    <xdr:col>1</xdr:col>
                    <xdr:colOff>9525</xdr:colOff>
                    <xdr:row>28</xdr:row>
                    <xdr:rowOff>19050</xdr:rowOff>
                  </from>
                  <to>
                    <xdr:col>1</xdr:col>
                    <xdr:colOff>1924050</xdr:colOff>
                    <xdr:row>28</xdr:row>
                    <xdr:rowOff>219075</xdr:rowOff>
                  </to>
                </anchor>
              </controlPr>
            </control>
          </mc:Choice>
        </mc:AlternateContent>
        <mc:AlternateContent xmlns:mc="http://schemas.openxmlformats.org/markup-compatibility/2006">
          <mc:Choice Requires="x14">
            <control shapeId="15379" r:id="rId22" name="Drop Down 19">
              <controlPr defaultSize="0" autoLine="0" autoPict="0">
                <anchor moveWithCells="1">
                  <from>
                    <xdr:col>1</xdr:col>
                    <xdr:colOff>9525</xdr:colOff>
                    <xdr:row>29</xdr:row>
                    <xdr:rowOff>19050</xdr:rowOff>
                  </from>
                  <to>
                    <xdr:col>1</xdr:col>
                    <xdr:colOff>1924050</xdr:colOff>
                    <xdr:row>29</xdr:row>
                    <xdr:rowOff>219075</xdr:rowOff>
                  </to>
                </anchor>
              </controlPr>
            </control>
          </mc:Choice>
        </mc:AlternateContent>
        <mc:AlternateContent xmlns:mc="http://schemas.openxmlformats.org/markup-compatibility/2006">
          <mc:Choice Requires="x14">
            <control shapeId="15380" r:id="rId23" name="Drop Down 20">
              <controlPr defaultSize="0" autoLine="0" autoPict="0">
                <anchor moveWithCells="1">
                  <from>
                    <xdr:col>1</xdr:col>
                    <xdr:colOff>9525</xdr:colOff>
                    <xdr:row>30</xdr:row>
                    <xdr:rowOff>19050</xdr:rowOff>
                  </from>
                  <to>
                    <xdr:col>1</xdr:col>
                    <xdr:colOff>1924050</xdr:colOff>
                    <xdr:row>30</xdr:row>
                    <xdr:rowOff>219075</xdr:rowOff>
                  </to>
                </anchor>
              </controlPr>
            </control>
          </mc:Choice>
        </mc:AlternateContent>
        <mc:AlternateContent xmlns:mc="http://schemas.openxmlformats.org/markup-compatibility/2006">
          <mc:Choice Requires="x14">
            <control shapeId="15381" r:id="rId24" name="Drop Down 21">
              <controlPr defaultSize="0" autoLine="0" autoPict="0">
                <anchor moveWithCells="1">
                  <from>
                    <xdr:col>1</xdr:col>
                    <xdr:colOff>9525</xdr:colOff>
                    <xdr:row>31</xdr:row>
                    <xdr:rowOff>19050</xdr:rowOff>
                  </from>
                  <to>
                    <xdr:col>1</xdr:col>
                    <xdr:colOff>1924050</xdr:colOff>
                    <xdr:row>31</xdr:row>
                    <xdr:rowOff>219075</xdr:rowOff>
                  </to>
                </anchor>
              </controlPr>
            </control>
          </mc:Choice>
        </mc:AlternateContent>
        <mc:AlternateContent xmlns:mc="http://schemas.openxmlformats.org/markup-compatibility/2006">
          <mc:Choice Requires="x14">
            <control shapeId="15382" r:id="rId25" name="Drop Down 22">
              <controlPr defaultSize="0" autoLine="0" autoPict="0">
                <anchor moveWithCells="1">
                  <from>
                    <xdr:col>1</xdr:col>
                    <xdr:colOff>9525</xdr:colOff>
                    <xdr:row>32</xdr:row>
                    <xdr:rowOff>19050</xdr:rowOff>
                  </from>
                  <to>
                    <xdr:col>1</xdr:col>
                    <xdr:colOff>1924050</xdr:colOff>
                    <xdr:row>32</xdr:row>
                    <xdr:rowOff>219075</xdr:rowOff>
                  </to>
                </anchor>
              </controlPr>
            </control>
          </mc:Choice>
        </mc:AlternateContent>
        <mc:AlternateContent xmlns:mc="http://schemas.openxmlformats.org/markup-compatibility/2006">
          <mc:Choice Requires="x14">
            <control shapeId="15383" r:id="rId26" name="Drop Down 23">
              <controlPr defaultSize="0" autoLine="0" autoPict="0">
                <anchor moveWithCells="1">
                  <from>
                    <xdr:col>1</xdr:col>
                    <xdr:colOff>9525</xdr:colOff>
                    <xdr:row>33</xdr:row>
                    <xdr:rowOff>19050</xdr:rowOff>
                  </from>
                  <to>
                    <xdr:col>1</xdr:col>
                    <xdr:colOff>1924050</xdr:colOff>
                    <xdr:row>33</xdr:row>
                    <xdr:rowOff>219075</xdr:rowOff>
                  </to>
                </anchor>
              </controlPr>
            </control>
          </mc:Choice>
        </mc:AlternateContent>
        <mc:AlternateContent xmlns:mc="http://schemas.openxmlformats.org/markup-compatibility/2006">
          <mc:Choice Requires="x14">
            <control shapeId="15384" r:id="rId27" name="Drop Down 24">
              <controlPr defaultSize="0" autoLine="0" autoPict="0">
                <anchor moveWithCells="1">
                  <from>
                    <xdr:col>1</xdr:col>
                    <xdr:colOff>9525</xdr:colOff>
                    <xdr:row>34</xdr:row>
                    <xdr:rowOff>19050</xdr:rowOff>
                  </from>
                  <to>
                    <xdr:col>1</xdr:col>
                    <xdr:colOff>1924050</xdr:colOff>
                    <xdr:row>34</xdr:row>
                    <xdr:rowOff>219075</xdr:rowOff>
                  </to>
                </anchor>
              </controlPr>
            </control>
          </mc:Choice>
        </mc:AlternateContent>
        <mc:AlternateContent xmlns:mc="http://schemas.openxmlformats.org/markup-compatibility/2006">
          <mc:Choice Requires="x14">
            <control shapeId="15385" r:id="rId28" name="Drop Down 25">
              <controlPr defaultSize="0" autoLine="0" autoPict="0">
                <anchor moveWithCells="1">
                  <from>
                    <xdr:col>1</xdr:col>
                    <xdr:colOff>9525</xdr:colOff>
                    <xdr:row>35</xdr:row>
                    <xdr:rowOff>19050</xdr:rowOff>
                  </from>
                  <to>
                    <xdr:col>1</xdr:col>
                    <xdr:colOff>1924050</xdr:colOff>
                    <xdr:row>35</xdr:row>
                    <xdr:rowOff>219075</xdr:rowOff>
                  </to>
                </anchor>
              </controlPr>
            </control>
          </mc:Choice>
        </mc:AlternateContent>
        <mc:AlternateContent xmlns:mc="http://schemas.openxmlformats.org/markup-compatibility/2006">
          <mc:Choice Requires="x14">
            <control shapeId="15386" r:id="rId29" name="Drop Down 26">
              <controlPr defaultSize="0" autoLine="0" autoPict="0">
                <anchor moveWithCells="1">
                  <from>
                    <xdr:col>1</xdr:col>
                    <xdr:colOff>9525</xdr:colOff>
                    <xdr:row>36</xdr:row>
                    <xdr:rowOff>19050</xdr:rowOff>
                  </from>
                  <to>
                    <xdr:col>1</xdr:col>
                    <xdr:colOff>1924050</xdr:colOff>
                    <xdr:row>36</xdr:row>
                    <xdr:rowOff>219075</xdr:rowOff>
                  </to>
                </anchor>
              </controlPr>
            </control>
          </mc:Choice>
        </mc:AlternateContent>
        <mc:AlternateContent xmlns:mc="http://schemas.openxmlformats.org/markup-compatibility/2006">
          <mc:Choice Requires="x14">
            <control shapeId="15387" r:id="rId30" name="Drop Down 27">
              <controlPr defaultSize="0" autoLine="0" autoPict="0">
                <anchor moveWithCells="1">
                  <from>
                    <xdr:col>1</xdr:col>
                    <xdr:colOff>9525</xdr:colOff>
                    <xdr:row>37</xdr:row>
                    <xdr:rowOff>19050</xdr:rowOff>
                  </from>
                  <to>
                    <xdr:col>1</xdr:col>
                    <xdr:colOff>1924050</xdr:colOff>
                    <xdr:row>37</xdr:row>
                    <xdr:rowOff>219075</xdr:rowOff>
                  </to>
                </anchor>
              </controlPr>
            </control>
          </mc:Choice>
        </mc:AlternateContent>
        <mc:AlternateContent xmlns:mc="http://schemas.openxmlformats.org/markup-compatibility/2006">
          <mc:Choice Requires="x14">
            <control shapeId="15388" r:id="rId31" name="Drop Down 28">
              <controlPr defaultSize="0" autoLine="0" autoPict="0">
                <anchor moveWithCells="1">
                  <from>
                    <xdr:col>1</xdr:col>
                    <xdr:colOff>9525</xdr:colOff>
                    <xdr:row>38</xdr:row>
                    <xdr:rowOff>19050</xdr:rowOff>
                  </from>
                  <to>
                    <xdr:col>1</xdr:col>
                    <xdr:colOff>1924050</xdr:colOff>
                    <xdr:row>38</xdr:row>
                    <xdr:rowOff>219075</xdr:rowOff>
                  </to>
                </anchor>
              </controlPr>
            </control>
          </mc:Choice>
        </mc:AlternateContent>
        <mc:AlternateContent xmlns:mc="http://schemas.openxmlformats.org/markup-compatibility/2006">
          <mc:Choice Requires="x14">
            <control shapeId="15389" r:id="rId32" name="Drop Down 29">
              <controlPr defaultSize="0" autoLine="0" autoPict="0">
                <anchor moveWithCells="1">
                  <from>
                    <xdr:col>1</xdr:col>
                    <xdr:colOff>9525</xdr:colOff>
                    <xdr:row>39</xdr:row>
                    <xdr:rowOff>19050</xdr:rowOff>
                  </from>
                  <to>
                    <xdr:col>1</xdr:col>
                    <xdr:colOff>1924050</xdr:colOff>
                    <xdr:row>39</xdr:row>
                    <xdr:rowOff>219075</xdr:rowOff>
                  </to>
                </anchor>
              </controlPr>
            </control>
          </mc:Choice>
        </mc:AlternateContent>
        <mc:AlternateContent xmlns:mc="http://schemas.openxmlformats.org/markup-compatibility/2006">
          <mc:Choice Requires="x14">
            <control shapeId="15390" r:id="rId33" name="Drop Down 30">
              <controlPr defaultSize="0" autoLine="0" autoPict="0">
                <anchor moveWithCells="1">
                  <from>
                    <xdr:col>1</xdr:col>
                    <xdr:colOff>9525</xdr:colOff>
                    <xdr:row>40</xdr:row>
                    <xdr:rowOff>19050</xdr:rowOff>
                  </from>
                  <to>
                    <xdr:col>1</xdr:col>
                    <xdr:colOff>1924050</xdr:colOff>
                    <xdr:row>40</xdr:row>
                    <xdr:rowOff>219075</xdr:rowOff>
                  </to>
                </anchor>
              </controlPr>
            </control>
          </mc:Choice>
        </mc:AlternateContent>
        <mc:AlternateContent xmlns:mc="http://schemas.openxmlformats.org/markup-compatibility/2006">
          <mc:Choice Requires="x14">
            <control shapeId="15391" r:id="rId34" name="Drop Down 31">
              <controlPr defaultSize="0" autoLine="0" autoPict="0">
                <anchor moveWithCells="1">
                  <from>
                    <xdr:col>1</xdr:col>
                    <xdr:colOff>9525</xdr:colOff>
                    <xdr:row>41</xdr:row>
                    <xdr:rowOff>19050</xdr:rowOff>
                  </from>
                  <to>
                    <xdr:col>1</xdr:col>
                    <xdr:colOff>1924050</xdr:colOff>
                    <xdr:row>41</xdr:row>
                    <xdr:rowOff>219075</xdr:rowOff>
                  </to>
                </anchor>
              </controlPr>
            </control>
          </mc:Choice>
        </mc:AlternateContent>
        <mc:AlternateContent xmlns:mc="http://schemas.openxmlformats.org/markup-compatibility/2006">
          <mc:Choice Requires="x14">
            <control shapeId="15392" r:id="rId35" name="Drop Down 32">
              <controlPr defaultSize="0" autoLine="0" autoPict="0">
                <anchor moveWithCells="1">
                  <from>
                    <xdr:col>1</xdr:col>
                    <xdr:colOff>9525</xdr:colOff>
                    <xdr:row>42</xdr:row>
                    <xdr:rowOff>19050</xdr:rowOff>
                  </from>
                  <to>
                    <xdr:col>1</xdr:col>
                    <xdr:colOff>1924050</xdr:colOff>
                    <xdr:row>42</xdr:row>
                    <xdr:rowOff>219075</xdr:rowOff>
                  </to>
                </anchor>
              </controlPr>
            </control>
          </mc:Choice>
        </mc:AlternateContent>
        <mc:AlternateContent xmlns:mc="http://schemas.openxmlformats.org/markup-compatibility/2006">
          <mc:Choice Requires="x14">
            <control shapeId="15393" r:id="rId36" name="Drop Down 33">
              <controlPr defaultSize="0" autoLine="0" autoPict="0">
                <anchor moveWithCells="1">
                  <from>
                    <xdr:col>1</xdr:col>
                    <xdr:colOff>9525</xdr:colOff>
                    <xdr:row>43</xdr:row>
                    <xdr:rowOff>19050</xdr:rowOff>
                  </from>
                  <to>
                    <xdr:col>1</xdr:col>
                    <xdr:colOff>1924050</xdr:colOff>
                    <xdr:row>43</xdr:row>
                    <xdr:rowOff>219075</xdr:rowOff>
                  </to>
                </anchor>
              </controlPr>
            </control>
          </mc:Choice>
        </mc:AlternateContent>
        <mc:AlternateContent xmlns:mc="http://schemas.openxmlformats.org/markup-compatibility/2006">
          <mc:Choice Requires="x14">
            <control shapeId="15394" r:id="rId37" name="Drop Down 34">
              <controlPr defaultSize="0" autoLine="0" autoPict="0">
                <anchor moveWithCells="1">
                  <from>
                    <xdr:col>1</xdr:col>
                    <xdr:colOff>9525</xdr:colOff>
                    <xdr:row>44</xdr:row>
                    <xdr:rowOff>19050</xdr:rowOff>
                  </from>
                  <to>
                    <xdr:col>1</xdr:col>
                    <xdr:colOff>1924050</xdr:colOff>
                    <xdr:row>44</xdr:row>
                    <xdr:rowOff>219075</xdr:rowOff>
                  </to>
                </anchor>
              </controlPr>
            </control>
          </mc:Choice>
        </mc:AlternateContent>
        <mc:AlternateContent xmlns:mc="http://schemas.openxmlformats.org/markup-compatibility/2006">
          <mc:Choice Requires="x14">
            <control shapeId="15395" r:id="rId38" name="Drop Down 35">
              <controlPr defaultSize="0" autoLine="0" autoPict="0">
                <anchor moveWithCells="1">
                  <from>
                    <xdr:col>1</xdr:col>
                    <xdr:colOff>9525</xdr:colOff>
                    <xdr:row>45</xdr:row>
                    <xdr:rowOff>19050</xdr:rowOff>
                  </from>
                  <to>
                    <xdr:col>1</xdr:col>
                    <xdr:colOff>1924050</xdr:colOff>
                    <xdr:row>45</xdr:row>
                    <xdr:rowOff>219075</xdr:rowOff>
                  </to>
                </anchor>
              </controlPr>
            </control>
          </mc:Choice>
        </mc:AlternateContent>
        <mc:AlternateContent xmlns:mc="http://schemas.openxmlformats.org/markup-compatibility/2006">
          <mc:Choice Requires="x14">
            <control shapeId="15396" r:id="rId39" name="Drop Down 36">
              <controlPr defaultSize="0" autoLine="0" autoPict="0">
                <anchor moveWithCells="1">
                  <from>
                    <xdr:col>1</xdr:col>
                    <xdr:colOff>9525</xdr:colOff>
                    <xdr:row>46</xdr:row>
                    <xdr:rowOff>19050</xdr:rowOff>
                  </from>
                  <to>
                    <xdr:col>1</xdr:col>
                    <xdr:colOff>1924050</xdr:colOff>
                    <xdr:row>46</xdr:row>
                    <xdr:rowOff>219075</xdr:rowOff>
                  </to>
                </anchor>
              </controlPr>
            </control>
          </mc:Choice>
        </mc:AlternateContent>
        <mc:AlternateContent xmlns:mc="http://schemas.openxmlformats.org/markup-compatibility/2006">
          <mc:Choice Requires="x14">
            <control shapeId="15397" r:id="rId40" name="Drop Down 37">
              <controlPr defaultSize="0" autoLine="0" autoPict="0">
                <anchor moveWithCells="1">
                  <from>
                    <xdr:col>1</xdr:col>
                    <xdr:colOff>9525</xdr:colOff>
                    <xdr:row>47</xdr:row>
                    <xdr:rowOff>19050</xdr:rowOff>
                  </from>
                  <to>
                    <xdr:col>1</xdr:col>
                    <xdr:colOff>1924050</xdr:colOff>
                    <xdr:row>47</xdr:row>
                    <xdr:rowOff>219075</xdr:rowOff>
                  </to>
                </anchor>
              </controlPr>
            </control>
          </mc:Choice>
        </mc:AlternateContent>
        <mc:AlternateContent xmlns:mc="http://schemas.openxmlformats.org/markup-compatibility/2006">
          <mc:Choice Requires="x14">
            <control shapeId="15398" r:id="rId41" name="Drop Down 38">
              <controlPr defaultSize="0" autoLine="0" autoPict="0">
                <anchor moveWithCells="1">
                  <from>
                    <xdr:col>1</xdr:col>
                    <xdr:colOff>9525</xdr:colOff>
                    <xdr:row>48</xdr:row>
                    <xdr:rowOff>19050</xdr:rowOff>
                  </from>
                  <to>
                    <xdr:col>1</xdr:col>
                    <xdr:colOff>1924050</xdr:colOff>
                    <xdr:row>48</xdr:row>
                    <xdr:rowOff>219075</xdr:rowOff>
                  </to>
                </anchor>
              </controlPr>
            </control>
          </mc:Choice>
        </mc:AlternateContent>
        <mc:AlternateContent xmlns:mc="http://schemas.openxmlformats.org/markup-compatibility/2006">
          <mc:Choice Requires="x14">
            <control shapeId="15399" r:id="rId42" name="Drop Down 39">
              <controlPr defaultSize="0" autoLine="0" autoPict="0">
                <anchor moveWithCells="1">
                  <from>
                    <xdr:col>1</xdr:col>
                    <xdr:colOff>9525</xdr:colOff>
                    <xdr:row>49</xdr:row>
                    <xdr:rowOff>19050</xdr:rowOff>
                  </from>
                  <to>
                    <xdr:col>1</xdr:col>
                    <xdr:colOff>1924050</xdr:colOff>
                    <xdr:row>49</xdr:row>
                    <xdr:rowOff>219075</xdr:rowOff>
                  </to>
                </anchor>
              </controlPr>
            </control>
          </mc:Choice>
        </mc:AlternateContent>
        <mc:AlternateContent xmlns:mc="http://schemas.openxmlformats.org/markup-compatibility/2006">
          <mc:Choice Requires="x14">
            <control shapeId="15400" r:id="rId43" name="Drop Down 40">
              <controlPr defaultSize="0" autoLine="0" autoPict="0">
                <anchor moveWithCells="1">
                  <from>
                    <xdr:col>1</xdr:col>
                    <xdr:colOff>9525</xdr:colOff>
                    <xdr:row>50</xdr:row>
                    <xdr:rowOff>19050</xdr:rowOff>
                  </from>
                  <to>
                    <xdr:col>1</xdr:col>
                    <xdr:colOff>1924050</xdr:colOff>
                    <xdr:row>50</xdr:row>
                    <xdr:rowOff>219075</xdr:rowOff>
                  </to>
                </anchor>
              </controlPr>
            </control>
          </mc:Choice>
        </mc:AlternateContent>
        <mc:AlternateContent xmlns:mc="http://schemas.openxmlformats.org/markup-compatibility/2006">
          <mc:Choice Requires="x14">
            <control shapeId="15401" r:id="rId44" name="Drop Down 41">
              <controlPr defaultSize="0" autoLine="0" autoPict="0">
                <anchor moveWithCells="1">
                  <from>
                    <xdr:col>1</xdr:col>
                    <xdr:colOff>9525</xdr:colOff>
                    <xdr:row>51</xdr:row>
                    <xdr:rowOff>19050</xdr:rowOff>
                  </from>
                  <to>
                    <xdr:col>1</xdr:col>
                    <xdr:colOff>1924050</xdr:colOff>
                    <xdr:row>51</xdr:row>
                    <xdr:rowOff>219075</xdr:rowOff>
                  </to>
                </anchor>
              </controlPr>
            </control>
          </mc:Choice>
        </mc:AlternateContent>
        <mc:AlternateContent xmlns:mc="http://schemas.openxmlformats.org/markup-compatibility/2006">
          <mc:Choice Requires="x14">
            <control shapeId="15402" r:id="rId45" name="Drop Down 42">
              <controlPr defaultSize="0" autoLine="0" autoPict="0">
                <anchor moveWithCells="1">
                  <from>
                    <xdr:col>1</xdr:col>
                    <xdr:colOff>9525</xdr:colOff>
                    <xdr:row>52</xdr:row>
                    <xdr:rowOff>19050</xdr:rowOff>
                  </from>
                  <to>
                    <xdr:col>1</xdr:col>
                    <xdr:colOff>1924050</xdr:colOff>
                    <xdr:row>52</xdr:row>
                    <xdr:rowOff>219075</xdr:rowOff>
                  </to>
                </anchor>
              </controlPr>
            </control>
          </mc:Choice>
        </mc:AlternateContent>
        <mc:AlternateContent xmlns:mc="http://schemas.openxmlformats.org/markup-compatibility/2006">
          <mc:Choice Requires="x14">
            <control shapeId="15403" r:id="rId46" name="Drop Down 43">
              <controlPr defaultSize="0" autoLine="0" autoPict="0">
                <anchor moveWithCells="1">
                  <from>
                    <xdr:col>1</xdr:col>
                    <xdr:colOff>9525</xdr:colOff>
                    <xdr:row>53</xdr:row>
                    <xdr:rowOff>19050</xdr:rowOff>
                  </from>
                  <to>
                    <xdr:col>1</xdr:col>
                    <xdr:colOff>1924050</xdr:colOff>
                    <xdr:row>53</xdr:row>
                    <xdr:rowOff>219075</xdr:rowOff>
                  </to>
                </anchor>
              </controlPr>
            </control>
          </mc:Choice>
        </mc:AlternateContent>
        <mc:AlternateContent xmlns:mc="http://schemas.openxmlformats.org/markup-compatibility/2006">
          <mc:Choice Requires="x14">
            <control shapeId="15404" r:id="rId47" name="Drop Down 44">
              <controlPr defaultSize="0" autoLine="0" autoPict="0">
                <anchor moveWithCells="1">
                  <from>
                    <xdr:col>1</xdr:col>
                    <xdr:colOff>9525</xdr:colOff>
                    <xdr:row>54</xdr:row>
                    <xdr:rowOff>19050</xdr:rowOff>
                  </from>
                  <to>
                    <xdr:col>1</xdr:col>
                    <xdr:colOff>1924050</xdr:colOff>
                    <xdr:row>54</xdr:row>
                    <xdr:rowOff>219075</xdr:rowOff>
                  </to>
                </anchor>
              </controlPr>
            </control>
          </mc:Choice>
        </mc:AlternateContent>
        <mc:AlternateContent xmlns:mc="http://schemas.openxmlformats.org/markup-compatibility/2006">
          <mc:Choice Requires="x14">
            <control shapeId="15405" r:id="rId48" name="Drop Down 45">
              <controlPr defaultSize="0" autoLine="0" autoPict="0">
                <anchor moveWithCells="1">
                  <from>
                    <xdr:col>1</xdr:col>
                    <xdr:colOff>9525</xdr:colOff>
                    <xdr:row>55</xdr:row>
                    <xdr:rowOff>19050</xdr:rowOff>
                  </from>
                  <to>
                    <xdr:col>1</xdr:col>
                    <xdr:colOff>1924050</xdr:colOff>
                    <xdr:row>55</xdr:row>
                    <xdr:rowOff>219075</xdr:rowOff>
                  </to>
                </anchor>
              </controlPr>
            </control>
          </mc:Choice>
        </mc:AlternateContent>
        <mc:AlternateContent xmlns:mc="http://schemas.openxmlformats.org/markup-compatibility/2006">
          <mc:Choice Requires="x14">
            <control shapeId="15406" r:id="rId49" name="Check Box 46">
              <controlPr defaultSize="0" autoFill="0" autoLine="0" autoPict="0">
                <anchor moveWithCells="1">
                  <from>
                    <xdr:col>10</xdr:col>
                    <xdr:colOff>247650</xdr:colOff>
                    <xdr:row>59</xdr:row>
                    <xdr:rowOff>0</xdr:rowOff>
                  </from>
                  <to>
                    <xdr:col>10</xdr:col>
                    <xdr:colOff>476250</xdr:colOff>
                    <xdr:row>59</xdr:row>
                    <xdr:rowOff>190500</xdr:rowOff>
                  </to>
                </anchor>
              </controlPr>
            </control>
          </mc:Choice>
        </mc:AlternateContent>
      </controls>
    </mc:Choice>
  </mc:AlternateConten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6"/>
  <dimension ref="A1:AA400"/>
  <sheetViews>
    <sheetView zoomScaleNormal="100" workbookViewId="0">
      <selection activeCell="A4" sqref="A4"/>
    </sheetView>
  </sheetViews>
  <sheetFormatPr defaultRowHeight="12.75" x14ac:dyDescent="0.2"/>
  <cols>
    <col min="1" max="1" width="18.140625" customWidth="1"/>
    <col min="3" max="3" width="14.28515625" customWidth="1"/>
    <col min="5" max="5" width="14.28515625" customWidth="1"/>
    <col min="8" max="8" width="14.28515625" customWidth="1"/>
    <col min="9" max="9" width="9.5703125" customWidth="1"/>
    <col min="10" max="10" width="9.5703125" bestFit="1" customWidth="1"/>
    <col min="13" max="13" width="14.28515625" customWidth="1"/>
    <col min="14" max="14" width="1.42578125" customWidth="1"/>
    <col min="15" max="15" width="18.42578125" customWidth="1"/>
    <col min="16" max="16" width="14.28515625" customWidth="1"/>
    <col min="19" max="19" width="14.28515625" customWidth="1"/>
    <col min="22" max="22" width="14.28515625" customWidth="1"/>
  </cols>
  <sheetData>
    <row r="1" spans="1:27" ht="18.75" thickBot="1" x14ac:dyDescent="0.3">
      <c r="A1" s="923" t="s">
        <v>1748</v>
      </c>
      <c r="B1" s="253"/>
      <c r="C1" s="253"/>
      <c r="D1" s="253"/>
      <c r="E1" s="253"/>
      <c r="F1" s="253"/>
      <c r="G1" s="253"/>
      <c r="H1" s="253"/>
      <c r="I1" s="253"/>
      <c r="J1" s="253"/>
      <c r="K1" s="253"/>
      <c r="L1" s="253"/>
      <c r="M1" s="253"/>
      <c r="N1" s="16"/>
      <c r="O1" s="923" t="s">
        <v>1749</v>
      </c>
      <c r="P1" s="253"/>
      <c r="Q1" s="253"/>
      <c r="R1" s="253"/>
      <c r="S1" s="253"/>
      <c r="T1" s="253"/>
      <c r="U1" s="253"/>
      <c r="V1" s="253"/>
      <c r="W1" s="16"/>
      <c r="X1" s="16"/>
      <c r="Y1" s="16"/>
      <c r="Z1" s="16"/>
      <c r="AA1" s="16"/>
    </row>
    <row r="2" spans="1:27" ht="17.25" customHeight="1" x14ac:dyDescent="0.2">
      <c r="A2" s="1572" t="s">
        <v>166</v>
      </c>
      <c r="B2" s="1568" t="s">
        <v>1720</v>
      </c>
      <c r="C2" s="1568" t="s">
        <v>1746</v>
      </c>
      <c r="D2" s="1568" t="s">
        <v>1722</v>
      </c>
      <c r="E2" s="1568" t="s">
        <v>1723</v>
      </c>
      <c r="F2" s="1568" t="s">
        <v>1724</v>
      </c>
      <c r="G2" s="1568" t="s">
        <v>1725</v>
      </c>
      <c r="H2" s="1568" t="s">
        <v>1726</v>
      </c>
      <c r="I2" s="1568" t="s">
        <v>1727</v>
      </c>
      <c r="J2" s="1568" t="s">
        <v>1728</v>
      </c>
      <c r="K2" s="1568" t="s">
        <v>1729</v>
      </c>
      <c r="L2" s="1568" t="s">
        <v>1730</v>
      </c>
      <c r="M2" s="1570" t="s">
        <v>1731</v>
      </c>
      <c r="N2" s="922"/>
      <c r="O2" s="1572" t="s">
        <v>166</v>
      </c>
      <c r="P2" s="1568" t="s">
        <v>1747</v>
      </c>
      <c r="Q2" s="1568" t="s">
        <v>1736</v>
      </c>
      <c r="R2" s="1568" t="s">
        <v>1741</v>
      </c>
      <c r="S2" s="1568" t="s">
        <v>1699</v>
      </c>
      <c r="T2" s="1568" t="s">
        <v>1700</v>
      </c>
      <c r="U2" s="1568" t="s">
        <v>1742</v>
      </c>
      <c r="V2" s="1570" t="s">
        <v>1743</v>
      </c>
    </row>
    <row r="3" spans="1:27" ht="54" customHeight="1" thickBot="1" x14ac:dyDescent="0.25">
      <c r="A3" s="1573"/>
      <c r="B3" s="1569"/>
      <c r="C3" s="1569"/>
      <c r="D3" s="1569"/>
      <c r="E3" s="1569"/>
      <c r="F3" s="1569"/>
      <c r="G3" s="1569"/>
      <c r="H3" s="1569"/>
      <c r="I3" s="1569"/>
      <c r="J3" s="1569"/>
      <c r="K3" s="1569"/>
      <c r="L3" s="1569"/>
      <c r="M3" s="1571"/>
      <c r="N3" s="922"/>
      <c r="O3" s="1573"/>
      <c r="P3" s="1569"/>
      <c r="Q3" s="1569"/>
      <c r="R3" s="1569"/>
      <c r="S3" s="1569"/>
      <c r="T3" s="1569"/>
      <c r="U3" s="1569"/>
      <c r="V3" s="1571"/>
    </row>
    <row r="4" spans="1:27" x14ac:dyDescent="0.2">
      <c r="A4" s="271">
        <f>LOOKUP(Overflow!$C12,Cities!$A$3:$A$356,Cities!$C$3:$C$356)</f>
        <v>0</v>
      </c>
      <c r="B4" s="959">
        <f>'Print Return'!L$37</f>
        <v>0</v>
      </c>
      <c r="C4" s="858">
        <f>Overflow!$M12</f>
        <v>0</v>
      </c>
      <c r="D4" s="859">
        <f t="shared" ref="D4:D48" si="0">B4*IF(ISNUMBER(C4)=TRUE,C4,0)</f>
        <v>0</v>
      </c>
      <c r="E4" s="825">
        <f>Overflow!G66</f>
        <v>0</v>
      </c>
      <c r="F4" s="826">
        <f>D4-E4</f>
        <v>0</v>
      </c>
      <c r="G4" s="960">
        <f>IF(C4&gt;0,F4 / C4,0)</f>
        <v>0</v>
      </c>
      <c r="H4" s="122">
        <f>'Print Return'!L$41</f>
        <v>0</v>
      </c>
      <c r="I4" s="293">
        <f>IF(Overflow!O12&lt;2015,MIN(G4,H4)/2,MIN(G4,H4))</f>
        <v>0</v>
      </c>
      <c r="J4" s="960">
        <f>IF(G4-I4&gt;0,G4-I4,0)</f>
        <v>0</v>
      </c>
      <c r="K4" s="293">
        <f>J4*IF(C4&gt;0,C4,0)</f>
        <v>0</v>
      </c>
      <c r="L4" s="860">
        <f>LOOKUP(Overflow!$C12,Cities!$A$3:$A$356,Cities!$D$3:$D$356)</f>
        <v>0</v>
      </c>
      <c r="M4" s="861">
        <f>K4*L4</f>
        <v>0</v>
      </c>
      <c r="N4" s="1"/>
      <c r="O4" s="271">
        <f>LOOKUP(Overflow!$C12,Cities!$A$3:$A$356,Cities!$C$3:$C$356)</f>
        <v>0</v>
      </c>
      <c r="P4" s="857">
        <f>IF(Overflow!O12&lt;2015,'Print Return'!L$45,J4)</f>
        <v>0</v>
      </c>
      <c r="Q4" s="858">
        <f>Overflow!$M12</f>
        <v>0</v>
      </c>
      <c r="R4" s="859">
        <f>P4*IF(Q4&gt;0,Q4,0)</f>
        <v>0</v>
      </c>
      <c r="S4" s="825">
        <f>Overflow!G66</f>
        <v>0</v>
      </c>
      <c r="T4" s="826">
        <f>IF(P4&gt;0,R4-S4,0)</f>
        <v>0</v>
      </c>
      <c r="U4" s="860">
        <f>LOOKUP(Overflow!$C12,Cities!$A$3:$A$356,Cities!$D$3:$D$356)</f>
        <v>0</v>
      </c>
      <c r="V4" s="861">
        <f>T4*U4</f>
        <v>0</v>
      </c>
    </row>
    <row r="5" spans="1:27" x14ac:dyDescent="0.2">
      <c r="A5" s="271">
        <f>LOOKUP(Overflow!$C13,Cities!$A$3:$A$356,Cities!$C$3:$C$356)</f>
        <v>0</v>
      </c>
      <c r="B5" s="959">
        <f>'Print Return'!L$37</f>
        <v>0</v>
      </c>
      <c r="C5" s="858">
        <f>Overflow!$M13</f>
        <v>0</v>
      </c>
      <c r="D5" s="859">
        <f t="shared" si="0"/>
        <v>0</v>
      </c>
      <c r="E5" s="825">
        <f>Overflow!G67</f>
        <v>0</v>
      </c>
      <c r="F5" s="826">
        <f t="shared" ref="F5:F48" si="1">D5-E5</f>
        <v>0</v>
      </c>
      <c r="G5" s="960">
        <f t="shared" ref="G5:G48" si="2">IF(C5&gt;0,F5 / C5,0)</f>
        <v>0</v>
      </c>
      <c r="H5" s="122">
        <f>'Print Return'!L$41</f>
        <v>0</v>
      </c>
      <c r="I5" s="293">
        <f>IF(Overflow!O13&lt;2015,MIN(G5,H5)/2,MIN(G5,H5))</f>
        <v>0</v>
      </c>
      <c r="J5" s="960">
        <f t="shared" ref="J5:J48" si="3">IF(G5-I5&gt;0,G5-I5,0)</f>
        <v>0</v>
      </c>
      <c r="K5" s="293">
        <f t="shared" ref="K5:K48" si="4">J5*IF(C5&gt;0,C5,0)</f>
        <v>0</v>
      </c>
      <c r="L5" s="860">
        <f>LOOKUP(Overflow!$C13,Cities!$A$3:$A$356,Cities!$D$3:$D$356)</f>
        <v>0</v>
      </c>
      <c r="M5" s="861">
        <f t="shared" ref="M5:M48" si="5">K5*L5</f>
        <v>0</v>
      </c>
      <c r="N5" s="4"/>
      <c r="O5" s="271">
        <f>LOOKUP(Overflow!$C13,Cities!$A$3:$A$356,Cities!$C$3:$C$356)</f>
        <v>0</v>
      </c>
      <c r="P5" s="857">
        <f>IF(Overflow!O13&lt;2015,'Print Return'!L$45,J5)</f>
        <v>0</v>
      </c>
      <c r="Q5" s="858">
        <f>Overflow!$M13</f>
        <v>0</v>
      </c>
      <c r="R5" s="859">
        <f t="shared" ref="R5:R48" si="6">P5*IF(Q5&gt;0,Q5,0)</f>
        <v>0</v>
      </c>
      <c r="S5" s="915">
        <f>Overflow!G67</f>
        <v>0</v>
      </c>
      <c r="T5" s="826">
        <f t="shared" ref="T5:T48" si="7">IF(P5&gt;0,R5-S5,0)</f>
        <v>0</v>
      </c>
      <c r="U5" s="860">
        <f>LOOKUP(Overflow!$C13,Cities!$A$3:$A$356,Cities!$D$3:$D$356)</f>
        <v>0</v>
      </c>
      <c r="V5" s="916">
        <f t="shared" ref="V5:V48" si="8">T5*U5</f>
        <v>0</v>
      </c>
    </row>
    <row r="6" spans="1:27" x14ac:dyDescent="0.2">
      <c r="A6" s="271">
        <f>LOOKUP(Overflow!$C14,Cities!$A$3:$A$356,Cities!$C$3:$C$356)</f>
        <v>0</v>
      </c>
      <c r="B6" s="959">
        <f>'Print Return'!L$37</f>
        <v>0</v>
      </c>
      <c r="C6" s="858">
        <f>Overflow!$M14</f>
        <v>0</v>
      </c>
      <c r="D6" s="859">
        <f t="shared" si="0"/>
        <v>0</v>
      </c>
      <c r="E6" s="825">
        <f>Overflow!G68</f>
        <v>0</v>
      </c>
      <c r="F6" s="826">
        <f t="shared" si="1"/>
        <v>0</v>
      </c>
      <c r="G6" s="960">
        <f t="shared" si="2"/>
        <v>0</v>
      </c>
      <c r="H6" s="122">
        <f>'Print Return'!L$41</f>
        <v>0</v>
      </c>
      <c r="I6" s="293">
        <f>IF(Overflow!O14&lt;2015,MIN(G6,H6)/2,MIN(G6,H6))</f>
        <v>0</v>
      </c>
      <c r="J6" s="960">
        <f t="shared" si="3"/>
        <v>0</v>
      </c>
      <c r="K6" s="293">
        <f t="shared" si="4"/>
        <v>0</v>
      </c>
      <c r="L6" s="860">
        <f>LOOKUP(Overflow!$C14,Cities!$A$3:$A$356,Cities!$D$3:$D$356)</f>
        <v>0</v>
      </c>
      <c r="M6" s="861">
        <f t="shared" si="5"/>
        <v>0</v>
      </c>
      <c r="N6" s="1"/>
      <c r="O6" s="271">
        <f>LOOKUP(Overflow!$C14,Cities!$A$3:$A$356,Cities!$C$3:$C$356)</f>
        <v>0</v>
      </c>
      <c r="P6" s="857">
        <f>IF(Overflow!O14&lt;2015,'Print Return'!L$45,J6)</f>
        <v>0</v>
      </c>
      <c r="Q6" s="858">
        <f>Overflow!$M14</f>
        <v>0</v>
      </c>
      <c r="R6" s="859">
        <f t="shared" si="6"/>
        <v>0</v>
      </c>
      <c r="S6" s="825">
        <f>Overflow!G68</f>
        <v>0</v>
      </c>
      <c r="T6" s="826">
        <f t="shared" si="7"/>
        <v>0</v>
      </c>
      <c r="U6" s="860">
        <f>LOOKUP(Overflow!$C14,Cities!$A$3:$A$356,Cities!$D$3:$D$356)</f>
        <v>0</v>
      </c>
      <c r="V6" s="861">
        <f t="shared" si="8"/>
        <v>0</v>
      </c>
    </row>
    <row r="7" spans="1:27" x14ac:dyDescent="0.2">
      <c r="A7" s="271">
        <f>LOOKUP(Overflow!$C15,Cities!$A$3:$A$356,Cities!$C$3:$C$356)</f>
        <v>0</v>
      </c>
      <c r="B7" s="959">
        <f>'Print Return'!L$37</f>
        <v>0</v>
      </c>
      <c r="C7" s="858">
        <f>Overflow!$M15</f>
        <v>0</v>
      </c>
      <c r="D7" s="859">
        <f t="shared" si="0"/>
        <v>0</v>
      </c>
      <c r="E7" s="825">
        <f>Overflow!G69</f>
        <v>0</v>
      </c>
      <c r="F7" s="826">
        <f t="shared" si="1"/>
        <v>0</v>
      </c>
      <c r="G7" s="960">
        <f t="shared" si="2"/>
        <v>0</v>
      </c>
      <c r="H7" s="122">
        <f>'Print Return'!L$41</f>
        <v>0</v>
      </c>
      <c r="I7" s="293">
        <f>IF(Overflow!O15&lt;2015,MIN(G7,H7)/2,MIN(G7,H7))</f>
        <v>0</v>
      </c>
      <c r="J7" s="960">
        <f t="shared" si="3"/>
        <v>0</v>
      </c>
      <c r="K7" s="293">
        <f t="shared" si="4"/>
        <v>0</v>
      </c>
      <c r="L7" s="860">
        <f>LOOKUP(Overflow!$C15,Cities!$A$3:$A$356,Cities!$D$3:$D$356)</f>
        <v>0</v>
      </c>
      <c r="M7" s="861">
        <f t="shared" si="5"/>
        <v>0</v>
      </c>
      <c r="N7" s="921"/>
      <c r="O7" s="271">
        <f>LOOKUP(Overflow!$C15,Cities!$A$3:$A$356,Cities!$C$3:$C$356)</f>
        <v>0</v>
      </c>
      <c r="P7" s="857">
        <f>IF(Overflow!O15&lt;2015,'Print Return'!L$45,J7)</f>
        <v>0</v>
      </c>
      <c r="Q7" s="858">
        <f>Overflow!$M15</f>
        <v>0</v>
      </c>
      <c r="R7" s="859">
        <f t="shared" si="6"/>
        <v>0</v>
      </c>
      <c r="S7" s="825">
        <f>Overflow!G69</f>
        <v>0</v>
      </c>
      <c r="T7" s="826">
        <f t="shared" si="7"/>
        <v>0</v>
      </c>
      <c r="U7" s="860">
        <f>LOOKUP(Overflow!$C15,Cities!$A$3:$A$356,Cities!$D$3:$D$356)</f>
        <v>0</v>
      </c>
      <c r="V7" s="861">
        <f t="shared" si="8"/>
        <v>0</v>
      </c>
    </row>
    <row r="8" spans="1:27" x14ac:dyDescent="0.2">
      <c r="A8" s="271">
        <f>LOOKUP(Overflow!$C16,Cities!$A$3:$A$356,Cities!$C$3:$C$356)</f>
        <v>0</v>
      </c>
      <c r="B8" s="959">
        <f>'Print Return'!L$37</f>
        <v>0</v>
      </c>
      <c r="C8" s="858">
        <f>Overflow!$M16</f>
        <v>0</v>
      </c>
      <c r="D8" s="859">
        <f t="shared" si="0"/>
        <v>0</v>
      </c>
      <c r="E8" s="825">
        <f>Overflow!G70</f>
        <v>0</v>
      </c>
      <c r="F8" s="826">
        <f t="shared" si="1"/>
        <v>0</v>
      </c>
      <c r="G8" s="960">
        <f t="shared" si="2"/>
        <v>0</v>
      </c>
      <c r="H8" s="122">
        <f>'Print Return'!L$41</f>
        <v>0</v>
      </c>
      <c r="I8" s="293">
        <f>IF(Overflow!O16&lt;2015,MIN(G8,H8)/2,MIN(G8,H8))</f>
        <v>0</v>
      </c>
      <c r="J8" s="960">
        <f t="shared" si="3"/>
        <v>0</v>
      </c>
      <c r="K8" s="293">
        <f t="shared" si="4"/>
        <v>0</v>
      </c>
      <c r="L8" s="860">
        <f>LOOKUP(Overflow!$C16,Cities!$A$3:$A$356,Cities!$D$3:$D$356)</f>
        <v>0</v>
      </c>
      <c r="M8" s="861">
        <f t="shared" si="5"/>
        <v>0</v>
      </c>
      <c r="N8" s="921"/>
      <c r="O8" s="271">
        <f>LOOKUP(Overflow!$C16,Cities!$A$3:$A$356,Cities!$C$3:$C$356)</f>
        <v>0</v>
      </c>
      <c r="P8" s="857">
        <f>IF(Overflow!O16&lt;2015,'Print Return'!L$45,J8)</f>
        <v>0</v>
      </c>
      <c r="Q8" s="858">
        <f>Overflow!$M16</f>
        <v>0</v>
      </c>
      <c r="R8" s="859">
        <f t="shared" si="6"/>
        <v>0</v>
      </c>
      <c r="S8" s="825">
        <f>Overflow!G70</f>
        <v>0</v>
      </c>
      <c r="T8" s="826">
        <f t="shared" si="7"/>
        <v>0</v>
      </c>
      <c r="U8" s="860">
        <f>LOOKUP(Overflow!$C16,Cities!$A$3:$A$356,Cities!$D$3:$D$356)</f>
        <v>0</v>
      </c>
      <c r="V8" s="861">
        <f t="shared" si="8"/>
        <v>0</v>
      </c>
    </row>
    <row r="9" spans="1:27" x14ac:dyDescent="0.2">
      <c r="A9" s="271">
        <f>LOOKUP(Overflow!$C17,Cities!$A$3:$A$356,Cities!$C$3:$C$356)</f>
        <v>0</v>
      </c>
      <c r="B9" s="959">
        <f>'Print Return'!L$37</f>
        <v>0</v>
      </c>
      <c r="C9" s="858">
        <f>Overflow!$M17</f>
        <v>0</v>
      </c>
      <c r="D9" s="859">
        <f t="shared" si="0"/>
        <v>0</v>
      </c>
      <c r="E9" s="825">
        <f>Overflow!G71</f>
        <v>0</v>
      </c>
      <c r="F9" s="826">
        <f t="shared" si="1"/>
        <v>0</v>
      </c>
      <c r="G9" s="960">
        <f t="shared" si="2"/>
        <v>0</v>
      </c>
      <c r="H9" s="122">
        <f>'Print Return'!L$41</f>
        <v>0</v>
      </c>
      <c r="I9" s="293">
        <f>IF(Overflow!O17&lt;2015,MIN(G9,H9)/2,MIN(G9,H9))</f>
        <v>0</v>
      </c>
      <c r="J9" s="960">
        <f t="shared" si="3"/>
        <v>0</v>
      </c>
      <c r="K9" s="293">
        <f t="shared" si="4"/>
        <v>0</v>
      </c>
      <c r="L9" s="860">
        <f>LOOKUP(Overflow!$C17,Cities!$A$3:$A$356,Cities!$D$3:$D$356)</f>
        <v>0</v>
      </c>
      <c r="M9" s="861">
        <f t="shared" si="5"/>
        <v>0</v>
      </c>
      <c r="N9" s="921"/>
      <c r="O9" s="271">
        <f>LOOKUP(Overflow!$C17,Cities!$A$3:$A$356,Cities!$C$3:$C$356)</f>
        <v>0</v>
      </c>
      <c r="P9" s="857">
        <f>IF(Overflow!O17&lt;2015,'Print Return'!L$45,J9)</f>
        <v>0</v>
      </c>
      <c r="Q9" s="858">
        <f>Overflow!$M17</f>
        <v>0</v>
      </c>
      <c r="R9" s="859">
        <f t="shared" si="6"/>
        <v>0</v>
      </c>
      <c r="S9" s="825">
        <f>Overflow!G71</f>
        <v>0</v>
      </c>
      <c r="T9" s="826">
        <f t="shared" si="7"/>
        <v>0</v>
      </c>
      <c r="U9" s="860">
        <f>LOOKUP(Overflow!$C17,Cities!$A$3:$A$356,Cities!$D$3:$D$356)</f>
        <v>0</v>
      </c>
      <c r="V9" s="861">
        <f t="shared" si="8"/>
        <v>0</v>
      </c>
    </row>
    <row r="10" spans="1:27" x14ac:dyDescent="0.2">
      <c r="A10" s="271">
        <f>LOOKUP(Overflow!$C18,Cities!$A$3:$A$356,Cities!$C$3:$C$356)</f>
        <v>0</v>
      </c>
      <c r="B10" s="959">
        <f>'Print Return'!L$37</f>
        <v>0</v>
      </c>
      <c r="C10" s="858">
        <f>Overflow!$M18</f>
        <v>0</v>
      </c>
      <c r="D10" s="859">
        <f t="shared" si="0"/>
        <v>0</v>
      </c>
      <c r="E10" s="825">
        <f>Overflow!G72</f>
        <v>0</v>
      </c>
      <c r="F10" s="826">
        <f t="shared" si="1"/>
        <v>0</v>
      </c>
      <c r="G10" s="960">
        <f t="shared" si="2"/>
        <v>0</v>
      </c>
      <c r="H10" s="122">
        <f>'Print Return'!L$41</f>
        <v>0</v>
      </c>
      <c r="I10" s="293">
        <f>IF(Overflow!O18&lt;2015,MIN(G10,H10)/2,MIN(G10,H10))</f>
        <v>0</v>
      </c>
      <c r="J10" s="960">
        <f t="shared" si="3"/>
        <v>0</v>
      </c>
      <c r="K10" s="293">
        <f t="shared" si="4"/>
        <v>0</v>
      </c>
      <c r="L10" s="860">
        <f>LOOKUP(Overflow!$C18,Cities!$A$3:$A$356,Cities!$D$3:$D$356)</f>
        <v>0</v>
      </c>
      <c r="M10" s="861">
        <f t="shared" si="5"/>
        <v>0</v>
      </c>
      <c r="N10" s="921"/>
      <c r="O10" s="271">
        <f>LOOKUP(Overflow!$C18,Cities!$A$3:$A$356,Cities!$C$3:$C$356)</f>
        <v>0</v>
      </c>
      <c r="P10" s="857">
        <f>IF(Overflow!O18&lt;2015,'Print Return'!L$45,J10)</f>
        <v>0</v>
      </c>
      <c r="Q10" s="858">
        <f>Overflow!$M18</f>
        <v>0</v>
      </c>
      <c r="R10" s="859">
        <f t="shared" si="6"/>
        <v>0</v>
      </c>
      <c r="S10" s="825">
        <f>Overflow!G72</f>
        <v>0</v>
      </c>
      <c r="T10" s="826">
        <f t="shared" si="7"/>
        <v>0</v>
      </c>
      <c r="U10" s="860">
        <f>LOOKUP(Overflow!$C18,Cities!$A$3:$A$356,Cities!$D$3:$D$356)</f>
        <v>0</v>
      </c>
      <c r="V10" s="861">
        <f t="shared" si="8"/>
        <v>0</v>
      </c>
    </row>
    <row r="11" spans="1:27" x14ac:dyDescent="0.2">
      <c r="A11" s="271">
        <f>LOOKUP(Overflow!$C19,Cities!$A$3:$A$356,Cities!$C$3:$C$356)</f>
        <v>0</v>
      </c>
      <c r="B11" s="959">
        <f>'Print Return'!L$37</f>
        <v>0</v>
      </c>
      <c r="C11" s="858">
        <f>Overflow!$M19</f>
        <v>0</v>
      </c>
      <c r="D11" s="859">
        <f t="shared" si="0"/>
        <v>0</v>
      </c>
      <c r="E11" s="825">
        <f>Overflow!G73</f>
        <v>0</v>
      </c>
      <c r="F11" s="826">
        <f t="shared" si="1"/>
        <v>0</v>
      </c>
      <c r="G11" s="960">
        <f t="shared" si="2"/>
        <v>0</v>
      </c>
      <c r="H11" s="122">
        <f>'Print Return'!L$41</f>
        <v>0</v>
      </c>
      <c r="I11" s="293">
        <f>IF(Overflow!O19&lt;2015,MIN(G11,H11)/2,MIN(G11,H11))</f>
        <v>0</v>
      </c>
      <c r="J11" s="960">
        <f t="shared" si="3"/>
        <v>0</v>
      </c>
      <c r="K11" s="293">
        <f t="shared" si="4"/>
        <v>0</v>
      </c>
      <c r="L11" s="860">
        <f>LOOKUP(Overflow!$C19,Cities!$A$3:$A$356,Cities!$D$3:$D$356)</f>
        <v>0</v>
      </c>
      <c r="M11" s="861">
        <f t="shared" si="5"/>
        <v>0</v>
      </c>
      <c r="N11" s="1"/>
      <c r="O11" s="271">
        <f>LOOKUP(Overflow!$C19,Cities!$A$3:$A$356,Cities!$C$3:$C$356)</f>
        <v>0</v>
      </c>
      <c r="P11" s="857">
        <f>IF(Overflow!O19&lt;2015,'Print Return'!L$45,J11)</f>
        <v>0</v>
      </c>
      <c r="Q11" s="858">
        <f>Overflow!$M19</f>
        <v>0</v>
      </c>
      <c r="R11" s="859">
        <f t="shared" si="6"/>
        <v>0</v>
      </c>
      <c r="S11" s="825">
        <f>Overflow!G73</f>
        <v>0</v>
      </c>
      <c r="T11" s="826">
        <f t="shared" si="7"/>
        <v>0</v>
      </c>
      <c r="U11" s="860">
        <f>LOOKUP(Overflow!$C19,Cities!$A$3:$A$356,Cities!$D$3:$D$356)</f>
        <v>0</v>
      </c>
      <c r="V11" s="861">
        <f t="shared" si="8"/>
        <v>0</v>
      </c>
    </row>
    <row r="12" spans="1:27" x14ac:dyDescent="0.2">
      <c r="A12" s="271">
        <f>LOOKUP(Overflow!$C20,Cities!$A$3:$A$356,Cities!$C$3:$C$356)</f>
        <v>0</v>
      </c>
      <c r="B12" s="959">
        <f>'Print Return'!L$37</f>
        <v>0</v>
      </c>
      <c r="C12" s="858">
        <f>Overflow!$M20</f>
        <v>0</v>
      </c>
      <c r="D12" s="859">
        <f t="shared" si="0"/>
        <v>0</v>
      </c>
      <c r="E12" s="825">
        <f>Overflow!G74</f>
        <v>0</v>
      </c>
      <c r="F12" s="826">
        <f t="shared" si="1"/>
        <v>0</v>
      </c>
      <c r="G12" s="960">
        <f t="shared" si="2"/>
        <v>0</v>
      </c>
      <c r="H12" s="122">
        <f>'Print Return'!L$41</f>
        <v>0</v>
      </c>
      <c r="I12" s="293">
        <f>IF(Overflow!O20&lt;2015,MIN(G12,H12)/2,MIN(G12,H12))</f>
        <v>0</v>
      </c>
      <c r="J12" s="960">
        <f t="shared" si="3"/>
        <v>0</v>
      </c>
      <c r="K12" s="293">
        <f t="shared" si="4"/>
        <v>0</v>
      </c>
      <c r="L12" s="860">
        <f>LOOKUP(Overflow!$C20,Cities!$A$3:$A$356,Cities!$D$3:$D$356)</f>
        <v>0</v>
      </c>
      <c r="M12" s="861">
        <f t="shared" si="5"/>
        <v>0</v>
      </c>
      <c r="N12" s="1"/>
      <c r="O12" s="271">
        <f>LOOKUP(Overflow!$C20,Cities!$A$3:$A$356,Cities!$C$3:$C$356)</f>
        <v>0</v>
      </c>
      <c r="P12" s="857">
        <f>IF(Overflow!O20&lt;2015,'Print Return'!L$45,J12)</f>
        <v>0</v>
      </c>
      <c r="Q12" s="858">
        <f>Overflow!$M20</f>
        <v>0</v>
      </c>
      <c r="R12" s="859">
        <f t="shared" si="6"/>
        <v>0</v>
      </c>
      <c r="S12" s="825">
        <f>Overflow!G74</f>
        <v>0</v>
      </c>
      <c r="T12" s="826">
        <f t="shared" si="7"/>
        <v>0</v>
      </c>
      <c r="U12" s="860">
        <f>LOOKUP(Overflow!$C20,Cities!$A$3:$A$356,Cities!$D$3:$D$356)</f>
        <v>0</v>
      </c>
      <c r="V12" s="861">
        <f t="shared" si="8"/>
        <v>0</v>
      </c>
    </row>
    <row r="13" spans="1:27" x14ac:dyDescent="0.2">
      <c r="A13" s="271">
        <f>LOOKUP(Overflow!$C21,Cities!$A$3:$A$356,Cities!$C$3:$C$356)</f>
        <v>0</v>
      </c>
      <c r="B13" s="959">
        <f>'Print Return'!L$37</f>
        <v>0</v>
      </c>
      <c r="C13" s="858">
        <f>Overflow!$M21</f>
        <v>0</v>
      </c>
      <c r="D13" s="859">
        <f t="shared" si="0"/>
        <v>0</v>
      </c>
      <c r="E13" s="825">
        <f>Overflow!G75</f>
        <v>0</v>
      </c>
      <c r="F13" s="826">
        <f t="shared" si="1"/>
        <v>0</v>
      </c>
      <c r="G13" s="960">
        <f t="shared" si="2"/>
        <v>0</v>
      </c>
      <c r="H13" s="122">
        <f>'Print Return'!L$41</f>
        <v>0</v>
      </c>
      <c r="I13" s="293">
        <f>IF(Overflow!O21&lt;2015,MIN(G13,H13)/2,MIN(G13,H13))</f>
        <v>0</v>
      </c>
      <c r="J13" s="960">
        <f t="shared" si="3"/>
        <v>0</v>
      </c>
      <c r="K13" s="293">
        <f t="shared" si="4"/>
        <v>0</v>
      </c>
      <c r="L13" s="860">
        <f>LOOKUP(Overflow!$C21,Cities!$A$3:$A$356,Cities!$D$3:$D$356)</f>
        <v>0</v>
      </c>
      <c r="M13" s="861">
        <f t="shared" si="5"/>
        <v>0</v>
      </c>
      <c r="N13" s="1"/>
      <c r="O13" s="271">
        <f>LOOKUP(Overflow!$C21,Cities!$A$3:$A$356,Cities!$C$3:$C$356)</f>
        <v>0</v>
      </c>
      <c r="P13" s="857">
        <f>IF(Overflow!O21&lt;2015,'Print Return'!L$45,J13)</f>
        <v>0</v>
      </c>
      <c r="Q13" s="858">
        <f>Overflow!$M21</f>
        <v>0</v>
      </c>
      <c r="R13" s="859">
        <f t="shared" si="6"/>
        <v>0</v>
      </c>
      <c r="S13" s="825">
        <f>Overflow!G75</f>
        <v>0</v>
      </c>
      <c r="T13" s="826">
        <f t="shared" si="7"/>
        <v>0</v>
      </c>
      <c r="U13" s="860">
        <f>LOOKUP(Overflow!$C21,Cities!$A$3:$A$356,Cities!$D$3:$D$356)</f>
        <v>0</v>
      </c>
      <c r="V13" s="861">
        <f t="shared" si="8"/>
        <v>0</v>
      </c>
    </row>
    <row r="14" spans="1:27" x14ac:dyDescent="0.2">
      <c r="A14" s="271">
        <f>LOOKUP(Overflow!$C22,Cities!$A$3:$A$356,Cities!$C$3:$C$356)</f>
        <v>0</v>
      </c>
      <c r="B14" s="959">
        <f>'Print Return'!L$37</f>
        <v>0</v>
      </c>
      <c r="C14" s="858">
        <f>Overflow!$M22</f>
        <v>0</v>
      </c>
      <c r="D14" s="859">
        <f t="shared" si="0"/>
        <v>0</v>
      </c>
      <c r="E14" s="825">
        <f>Overflow!G76</f>
        <v>0</v>
      </c>
      <c r="F14" s="826">
        <f t="shared" si="1"/>
        <v>0</v>
      </c>
      <c r="G14" s="960">
        <f t="shared" si="2"/>
        <v>0</v>
      </c>
      <c r="H14" s="122">
        <f>'Print Return'!L$41</f>
        <v>0</v>
      </c>
      <c r="I14" s="293">
        <f>IF(Overflow!O22&lt;2015,MIN(G14,H14)/2,MIN(G14,H14))</f>
        <v>0</v>
      </c>
      <c r="J14" s="960">
        <f t="shared" si="3"/>
        <v>0</v>
      </c>
      <c r="K14" s="293">
        <f t="shared" si="4"/>
        <v>0</v>
      </c>
      <c r="L14" s="860">
        <f>LOOKUP(Overflow!$C22,Cities!$A$3:$A$356,Cities!$D$3:$D$356)</f>
        <v>0</v>
      </c>
      <c r="M14" s="861">
        <f t="shared" si="5"/>
        <v>0</v>
      </c>
      <c r="N14" s="1"/>
      <c r="O14" s="271">
        <f>LOOKUP(Overflow!$C22,Cities!$A$3:$A$356,Cities!$C$3:$C$356)</f>
        <v>0</v>
      </c>
      <c r="P14" s="857">
        <f>IF(Overflow!O22&lt;2015,'Print Return'!L$45,J14)</f>
        <v>0</v>
      </c>
      <c r="Q14" s="858">
        <f>Overflow!$M22</f>
        <v>0</v>
      </c>
      <c r="R14" s="859">
        <f t="shared" si="6"/>
        <v>0</v>
      </c>
      <c r="S14" s="825">
        <f>Overflow!G76</f>
        <v>0</v>
      </c>
      <c r="T14" s="826">
        <f t="shared" si="7"/>
        <v>0</v>
      </c>
      <c r="U14" s="860">
        <f>LOOKUP(Overflow!$C22,Cities!$A$3:$A$356,Cities!$D$3:$D$356)</f>
        <v>0</v>
      </c>
      <c r="V14" s="861">
        <f t="shared" si="8"/>
        <v>0</v>
      </c>
    </row>
    <row r="15" spans="1:27" x14ac:dyDescent="0.2">
      <c r="A15" s="271">
        <f>LOOKUP(Overflow!$C23,Cities!$A$3:$A$356,Cities!$C$3:$C$356)</f>
        <v>0</v>
      </c>
      <c r="B15" s="959">
        <f>'Print Return'!L$37</f>
        <v>0</v>
      </c>
      <c r="C15" s="858">
        <f>Overflow!$M23</f>
        <v>0</v>
      </c>
      <c r="D15" s="859">
        <f t="shared" si="0"/>
        <v>0</v>
      </c>
      <c r="E15" s="825">
        <f>Overflow!G77</f>
        <v>0</v>
      </c>
      <c r="F15" s="826">
        <f t="shared" si="1"/>
        <v>0</v>
      </c>
      <c r="G15" s="960">
        <f t="shared" si="2"/>
        <v>0</v>
      </c>
      <c r="H15" s="122">
        <f>'Print Return'!L$41</f>
        <v>0</v>
      </c>
      <c r="I15" s="293">
        <f>IF(Overflow!O23&lt;2015,MIN(G15,H15)/2,MIN(G15,H15))</f>
        <v>0</v>
      </c>
      <c r="J15" s="960">
        <f t="shared" si="3"/>
        <v>0</v>
      </c>
      <c r="K15" s="293">
        <f t="shared" si="4"/>
        <v>0</v>
      </c>
      <c r="L15" s="860">
        <f>LOOKUP(Overflow!$C23,Cities!$A$3:$A$356,Cities!$D$3:$D$356)</f>
        <v>0</v>
      </c>
      <c r="M15" s="861">
        <f t="shared" si="5"/>
        <v>0</v>
      </c>
      <c r="N15" s="1"/>
      <c r="O15" s="271">
        <f>LOOKUP(Overflow!$C23,Cities!$A$3:$A$356,Cities!$C$3:$C$356)</f>
        <v>0</v>
      </c>
      <c r="P15" s="857">
        <f>IF(Overflow!O23&lt;2015,'Print Return'!L$45,J15)</f>
        <v>0</v>
      </c>
      <c r="Q15" s="858">
        <f>Overflow!$M23</f>
        <v>0</v>
      </c>
      <c r="R15" s="859">
        <f t="shared" si="6"/>
        <v>0</v>
      </c>
      <c r="S15" s="825">
        <f>Overflow!G77</f>
        <v>0</v>
      </c>
      <c r="T15" s="826">
        <f t="shared" si="7"/>
        <v>0</v>
      </c>
      <c r="U15" s="860">
        <f>LOOKUP(Overflow!$C23,Cities!$A$3:$A$356,Cities!$D$3:$D$356)</f>
        <v>0</v>
      </c>
      <c r="V15" s="861">
        <f t="shared" si="8"/>
        <v>0</v>
      </c>
    </row>
    <row r="16" spans="1:27" x14ac:dyDescent="0.2">
      <c r="A16" s="271">
        <f>LOOKUP(Overflow!$C24,Cities!$A$3:$A$356,Cities!$C$3:$C$356)</f>
        <v>0</v>
      </c>
      <c r="B16" s="959">
        <f>'Print Return'!L$37</f>
        <v>0</v>
      </c>
      <c r="C16" s="858">
        <f>Overflow!$M24</f>
        <v>0</v>
      </c>
      <c r="D16" s="859">
        <f t="shared" si="0"/>
        <v>0</v>
      </c>
      <c r="E16" s="825">
        <f>Overflow!G78</f>
        <v>0</v>
      </c>
      <c r="F16" s="826">
        <f t="shared" si="1"/>
        <v>0</v>
      </c>
      <c r="G16" s="960">
        <f t="shared" si="2"/>
        <v>0</v>
      </c>
      <c r="H16" s="122">
        <f>'Print Return'!L$41</f>
        <v>0</v>
      </c>
      <c r="I16" s="293">
        <f>IF(Overflow!O24&lt;2015,MIN(G16,H16)/2,MIN(G16,H16))</f>
        <v>0</v>
      </c>
      <c r="J16" s="960">
        <f t="shared" si="3"/>
        <v>0</v>
      </c>
      <c r="K16" s="293">
        <f t="shared" si="4"/>
        <v>0</v>
      </c>
      <c r="L16" s="860">
        <f>LOOKUP(Overflow!$C24,Cities!$A$3:$A$356,Cities!$D$3:$D$356)</f>
        <v>0</v>
      </c>
      <c r="M16" s="861">
        <f t="shared" si="5"/>
        <v>0</v>
      </c>
      <c r="N16" s="1"/>
      <c r="O16" s="271">
        <f>LOOKUP(Overflow!$C24,Cities!$A$3:$A$356,Cities!$C$3:$C$356)</f>
        <v>0</v>
      </c>
      <c r="P16" s="857">
        <f>IF(Overflow!O24&lt;2015,'Print Return'!L$45,J16)</f>
        <v>0</v>
      </c>
      <c r="Q16" s="858">
        <f>Overflow!$M24</f>
        <v>0</v>
      </c>
      <c r="R16" s="859">
        <f t="shared" si="6"/>
        <v>0</v>
      </c>
      <c r="S16" s="825">
        <f>Overflow!G78</f>
        <v>0</v>
      </c>
      <c r="T16" s="826">
        <f t="shared" si="7"/>
        <v>0</v>
      </c>
      <c r="U16" s="860">
        <f>LOOKUP(Overflow!$C24,Cities!$A$3:$A$356,Cities!$D$3:$D$356)</f>
        <v>0</v>
      </c>
      <c r="V16" s="861">
        <f t="shared" si="8"/>
        <v>0</v>
      </c>
    </row>
    <row r="17" spans="1:22" x14ac:dyDescent="0.2">
      <c r="A17" s="271">
        <f>LOOKUP(Overflow!$C25,Cities!$A$3:$A$356,Cities!$C$3:$C$356)</f>
        <v>0</v>
      </c>
      <c r="B17" s="959">
        <f>'Print Return'!L$37</f>
        <v>0</v>
      </c>
      <c r="C17" s="858">
        <f>Overflow!$M25</f>
        <v>0</v>
      </c>
      <c r="D17" s="859">
        <f t="shared" si="0"/>
        <v>0</v>
      </c>
      <c r="E17" s="825">
        <f>Overflow!G79</f>
        <v>0</v>
      </c>
      <c r="F17" s="826">
        <f t="shared" si="1"/>
        <v>0</v>
      </c>
      <c r="G17" s="960">
        <f t="shared" si="2"/>
        <v>0</v>
      </c>
      <c r="H17" s="122">
        <f>'Print Return'!L$41</f>
        <v>0</v>
      </c>
      <c r="I17" s="293">
        <f>IF(Overflow!O25&lt;2015,MIN(G17,H17)/2,MIN(G17,H17))</f>
        <v>0</v>
      </c>
      <c r="J17" s="960">
        <f t="shared" si="3"/>
        <v>0</v>
      </c>
      <c r="K17" s="293">
        <f t="shared" si="4"/>
        <v>0</v>
      </c>
      <c r="L17" s="860">
        <f>LOOKUP(Overflow!$C25,Cities!$A$3:$A$356,Cities!$D$3:$D$356)</f>
        <v>0</v>
      </c>
      <c r="M17" s="861">
        <f t="shared" si="5"/>
        <v>0</v>
      </c>
      <c r="N17" s="1"/>
      <c r="O17" s="271">
        <f>LOOKUP(Overflow!$C25,Cities!$A$3:$A$356,Cities!$C$3:$C$356)</f>
        <v>0</v>
      </c>
      <c r="P17" s="857">
        <f>IF(Overflow!O25&lt;2015,'Print Return'!L$45,J17)</f>
        <v>0</v>
      </c>
      <c r="Q17" s="858">
        <f>Overflow!$M25</f>
        <v>0</v>
      </c>
      <c r="R17" s="859">
        <f t="shared" si="6"/>
        <v>0</v>
      </c>
      <c r="S17" s="825">
        <f>Overflow!G79</f>
        <v>0</v>
      </c>
      <c r="T17" s="826">
        <f t="shared" si="7"/>
        <v>0</v>
      </c>
      <c r="U17" s="860">
        <f>LOOKUP(Overflow!$C25,Cities!$A$3:$A$356,Cities!$D$3:$D$356)</f>
        <v>0</v>
      </c>
      <c r="V17" s="861">
        <f t="shared" si="8"/>
        <v>0</v>
      </c>
    </row>
    <row r="18" spans="1:22" x14ac:dyDescent="0.2">
      <c r="A18" s="271">
        <f>LOOKUP(Overflow!$C26,Cities!$A$3:$A$356,Cities!$C$3:$C$356)</f>
        <v>0</v>
      </c>
      <c r="B18" s="959">
        <f>'Print Return'!L$37</f>
        <v>0</v>
      </c>
      <c r="C18" s="858">
        <f>Overflow!$M26</f>
        <v>0</v>
      </c>
      <c r="D18" s="859">
        <f t="shared" si="0"/>
        <v>0</v>
      </c>
      <c r="E18" s="825">
        <f>Overflow!G80</f>
        <v>0</v>
      </c>
      <c r="F18" s="826">
        <f t="shared" si="1"/>
        <v>0</v>
      </c>
      <c r="G18" s="960">
        <f t="shared" si="2"/>
        <v>0</v>
      </c>
      <c r="H18" s="122">
        <f>'Print Return'!L$41</f>
        <v>0</v>
      </c>
      <c r="I18" s="293">
        <f>IF(Overflow!O26&lt;2015,MIN(G18,H18)/2,MIN(G18,H18))</f>
        <v>0</v>
      </c>
      <c r="J18" s="960">
        <f t="shared" si="3"/>
        <v>0</v>
      </c>
      <c r="K18" s="293">
        <f t="shared" si="4"/>
        <v>0</v>
      </c>
      <c r="L18" s="860">
        <f>LOOKUP(Overflow!$C26,Cities!$A$3:$A$356,Cities!$D$3:$D$356)</f>
        <v>0</v>
      </c>
      <c r="M18" s="861">
        <f t="shared" si="5"/>
        <v>0</v>
      </c>
      <c r="N18" s="1"/>
      <c r="O18" s="271">
        <f>LOOKUP(Overflow!$C26,Cities!$A$3:$A$356,Cities!$C$3:$C$356)</f>
        <v>0</v>
      </c>
      <c r="P18" s="857">
        <f>IF(Overflow!O26&lt;2015,'Print Return'!L$45,J18)</f>
        <v>0</v>
      </c>
      <c r="Q18" s="858">
        <f>Overflow!$M26</f>
        <v>0</v>
      </c>
      <c r="R18" s="859">
        <f t="shared" si="6"/>
        <v>0</v>
      </c>
      <c r="S18" s="825">
        <f>Overflow!G80</f>
        <v>0</v>
      </c>
      <c r="T18" s="826">
        <f t="shared" si="7"/>
        <v>0</v>
      </c>
      <c r="U18" s="860">
        <f>LOOKUP(Overflow!$C26,Cities!$A$3:$A$356,Cities!$D$3:$D$356)</f>
        <v>0</v>
      </c>
      <c r="V18" s="861">
        <f t="shared" si="8"/>
        <v>0</v>
      </c>
    </row>
    <row r="19" spans="1:22" x14ac:dyDescent="0.2">
      <c r="A19" s="271">
        <f>LOOKUP(Overflow!$C27,Cities!$A$3:$A$356,Cities!$C$3:$C$356)</f>
        <v>0</v>
      </c>
      <c r="B19" s="959">
        <f>'Print Return'!L$37</f>
        <v>0</v>
      </c>
      <c r="C19" s="858">
        <f>Overflow!$M27</f>
        <v>0</v>
      </c>
      <c r="D19" s="859">
        <f t="shared" si="0"/>
        <v>0</v>
      </c>
      <c r="E19" s="825">
        <f>Overflow!G81</f>
        <v>0</v>
      </c>
      <c r="F19" s="826">
        <f t="shared" si="1"/>
        <v>0</v>
      </c>
      <c r="G19" s="960">
        <f t="shared" si="2"/>
        <v>0</v>
      </c>
      <c r="H19" s="122">
        <f>'Print Return'!L$41</f>
        <v>0</v>
      </c>
      <c r="I19" s="293">
        <f>IF(Overflow!O27&lt;2015,MIN(G19,H19)/2,MIN(G19,H19))</f>
        <v>0</v>
      </c>
      <c r="J19" s="960">
        <f t="shared" si="3"/>
        <v>0</v>
      </c>
      <c r="K19" s="293">
        <f t="shared" si="4"/>
        <v>0</v>
      </c>
      <c r="L19" s="860">
        <f>LOOKUP(Overflow!$C27,Cities!$A$3:$A$356,Cities!$D$3:$D$356)</f>
        <v>0</v>
      </c>
      <c r="M19" s="861">
        <f t="shared" si="5"/>
        <v>0</v>
      </c>
      <c r="N19" s="1"/>
      <c r="O19" s="271">
        <f>LOOKUP(Overflow!$C27,Cities!$A$3:$A$356,Cities!$C$3:$C$356)</f>
        <v>0</v>
      </c>
      <c r="P19" s="857">
        <f>IF(Overflow!O27&lt;2015,'Print Return'!L$45,J19)</f>
        <v>0</v>
      </c>
      <c r="Q19" s="858">
        <f>Overflow!$M27</f>
        <v>0</v>
      </c>
      <c r="R19" s="859">
        <f t="shared" si="6"/>
        <v>0</v>
      </c>
      <c r="S19" s="825">
        <f>Overflow!G81</f>
        <v>0</v>
      </c>
      <c r="T19" s="826">
        <f t="shared" si="7"/>
        <v>0</v>
      </c>
      <c r="U19" s="860">
        <f>LOOKUP(Overflow!$C27,Cities!$A$3:$A$356,Cities!$D$3:$D$356)</f>
        <v>0</v>
      </c>
      <c r="V19" s="861">
        <f t="shared" si="8"/>
        <v>0</v>
      </c>
    </row>
    <row r="20" spans="1:22" x14ac:dyDescent="0.2">
      <c r="A20" s="271">
        <f>LOOKUP(Overflow!$C28,Cities!$A$3:$A$356,Cities!$C$3:$C$356)</f>
        <v>0</v>
      </c>
      <c r="B20" s="959">
        <f>'Print Return'!L$37</f>
        <v>0</v>
      </c>
      <c r="C20" s="858">
        <f>Overflow!$M28</f>
        <v>0</v>
      </c>
      <c r="D20" s="859">
        <f t="shared" si="0"/>
        <v>0</v>
      </c>
      <c r="E20" s="825">
        <f>Overflow!G82</f>
        <v>0</v>
      </c>
      <c r="F20" s="826">
        <f t="shared" si="1"/>
        <v>0</v>
      </c>
      <c r="G20" s="960">
        <f t="shared" si="2"/>
        <v>0</v>
      </c>
      <c r="H20" s="122">
        <f>'Print Return'!L$41</f>
        <v>0</v>
      </c>
      <c r="I20" s="293">
        <f>IF(Overflow!O28&lt;2015,MIN(G20,H20)/2,MIN(G20,H20))</f>
        <v>0</v>
      </c>
      <c r="J20" s="960">
        <f t="shared" si="3"/>
        <v>0</v>
      </c>
      <c r="K20" s="293">
        <f t="shared" si="4"/>
        <v>0</v>
      </c>
      <c r="L20" s="860">
        <f>LOOKUP(Overflow!$C28,Cities!$A$3:$A$356,Cities!$D$3:$D$356)</f>
        <v>0</v>
      </c>
      <c r="M20" s="861">
        <f t="shared" si="5"/>
        <v>0</v>
      </c>
      <c r="N20" s="1"/>
      <c r="O20" s="271">
        <f>LOOKUP(Overflow!$C28,Cities!$A$3:$A$356,Cities!$C$3:$C$356)</f>
        <v>0</v>
      </c>
      <c r="P20" s="857">
        <f>IF(Overflow!O28&lt;2015,'Print Return'!L$45,J20)</f>
        <v>0</v>
      </c>
      <c r="Q20" s="858">
        <f>Overflow!$M28</f>
        <v>0</v>
      </c>
      <c r="R20" s="859">
        <f t="shared" si="6"/>
        <v>0</v>
      </c>
      <c r="S20" s="825">
        <f>Overflow!G82</f>
        <v>0</v>
      </c>
      <c r="T20" s="826">
        <f t="shared" si="7"/>
        <v>0</v>
      </c>
      <c r="U20" s="860">
        <f>LOOKUP(Overflow!$C28,Cities!$A$3:$A$356,Cities!$D$3:$D$356)</f>
        <v>0</v>
      </c>
      <c r="V20" s="861">
        <f t="shared" si="8"/>
        <v>0</v>
      </c>
    </row>
    <row r="21" spans="1:22" x14ac:dyDescent="0.2">
      <c r="A21" s="271">
        <f>LOOKUP(Overflow!$C29,Cities!$A$3:$A$356,Cities!$C$3:$C$356)</f>
        <v>0</v>
      </c>
      <c r="B21" s="959">
        <f>'Print Return'!L$37</f>
        <v>0</v>
      </c>
      <c r="C21" s="858">
        <f>Overflow!$M29</f>
        <v>0</v>
      </c>
      <c r="D21" s="859">
        <f t="shared" si="0"/>
        <v>0</v>
      </c>
      <c r="E21" s="825">
        <f>Overflow!G83</f>
        <v>0</v>
      </c>
      <c r="F21" s="826">
        <f t="shared" si="1"/>
        <v>0</v>
      </c>
      <c r="G21" s="960">
        <f t="shared" si="2"/>
        <v>0</v>
      </c>
      <c r="H21" s="122">
        <f>'Print Return'!L$41</f>
        <v>0</v>
      </c>
      <c r="I21" s="293">
        <f>IF(Overflow!O29&lt;2015,MIN(G21,H21)/2,MIN(G21,H21))</f>
        <v>0</v>
      </c>
      <c r="J21" s="960">
        <f t="shared" si="3"/>
        <v>0</v>
      </c>
      <c r="K21" s="293">
        <f t="shared" si="4"/>
        <v>0</v>
      </c>
      <c r="L21" s="860">
        <f>LOOKUP(Overflow!$C29,Cities!$A$3:$A$356,Cities!$D$3:$D$356)</f>
        <v>0</v>
      </c>
      <c r="M21" s="861">
        <f t="shared" si="5"/>
        <v>0</v>
      </c>
      <c r="N21" s="1"/>
      <c r="O21" s="271">
        <f>LOOKUP(Overflow!$C29,Cities!$A$3:$A$356,Cities!$C$3:$C$356)</f>
        <v>0</v>
      </c>
      <c r="P21" s="857">
        <f>IF(Overflow!O29&lt;2015,'Print Return'!L$45,J21)</f>
        <v>0</v>
      </c>
      <c r="Q21" s="858">
        <f>Overflow!$M29</f>
        <v>0</v>
      </c>
      <c r="R21" s="859">
        <f t="shared" si="6"/>
        <v>0</v>
      </c>
      <c r="S21" s="825">
        <f>Overflow!G83</f>
        <v>0</v>
      </c>
      <c r="T21" s="826">
        <f t="shared" si="7"/>
        <v>0</v>
      </c>
      <c r="U21" s="860">
        <f>LOOKUP(Overflow!$C29,Cities!$A$3:$A$356,Cities!$D$3:$D$356)</f>
        <v>0</v>
      </c>
      <c r="V21" s="861">
        <f t="shared" si="8"/>
        <v>0</v>
      </c>
    </row>
    <row r="22" spans="1:22" x14ac:dyDescent="0.2">
      <c r="A22" s="271">
        <f>LOOKUP(Overflow!$C30,Cities!$A$3:$A$356,Cities!$C$3:$C$356)</f>
        <v>0</v>
      </c>
      <c r="B22" s="959">
        <f>'Print Return'!L$37</f>
        <v>0</v>
      </c>
      <c r="C22" s="858">
        <f>Overflow!$M30</f>
        <v>0</v>
      </c>
      <c r="D22" s="859">
        <f t="shared" si="0"/>
        <v>0</v>
      </c>
      <c r="E22" s="825">
        <f>Overflow!G84</f>
        <v>0</v>
      </c>
      <c r="F22" s="826">
        <f t="shared" si="1"/>
        <v>0</v>
      </c>
      <c r="G22" s="960">
        <f t="shared" si="2"/>
        <v>0</v>
      </c>
      <c r="H22" s="122">
        <f>'Print Return'!L$41</f>
        <v>0</v>
      </c>
      <c r="I22" s="293">
        <f>IF(Overflow!O30&lt;2015,MIN(G22,H22)/2,MIN(G22,H22))</f>
        <v>0</v>
      </c>
      <c r="J22" s="960">
        <f t="shared" si="3"/>
        <v>0</v>
      </c>
      <c r="K22" s="293">
        <f t="shared" si="4"/>
        <v>0</v>
      </c>
      <c r="L22" s="860">
        <f>LOOKUP(Overflow!$C30,Cities!$A$3:$A$356,Cities!$D$3:$D$356)</f>
        <v>0</v>
      </c>
      <c r="M22" s="861">
        <f t="shared" si="5"/>
        <v>0</v>
      </c>
      <c r="N22" s="1"/>
      <c r="O22" s="271">
        <f>LOOKUP(Overflow!$C30,Cities!$A$3:$A$356,Cities!$C$3:$C$356)</f>
        <v>0</v>
      </c>
      <c r="P22" s="857">
        <f>IF(Overflow!O30&lt;2015,'Print Return'!L$45,J22)</f>
        <v>0</v>
      </c>
      <c r="Q22" s="858">
        <f>Overflow!$M30</f>
        <v>0</v>
      </c>
      <c r="R22" s="859">
        <f t="shared" si="6"/>
        <v>0</v>
      </c>
      <c r="S22" s="825">
        <f>Overflow!G84</f>
        <v>0</v>
      </c>
      <c r="T22" s="826">
        <f t="shared" si="7"/>
        <v>0</v>
      </c>
      <c r="U22" s="860">
        <f>LOOKUP(Overflow!$C30,Cities!$A$3:$A$356,Cities!$D$3:$D$356)</f>
        <v>0</v>
      </c>
      <c r="V22" s="861">
        <f t="shared" si="8"/>
        <v>0</v>
      </c>
    </row>
    <row r="23" spans="1:22" x14ac:dyDescent="0.2">
      <c r="A23" s="271">
        <f>LOOKUP(Overflow!$C31,Cities!$A$3:$A$356,Cities!$C$3:$C$356)</f>
        <v>0</v>
      </c>
      <c r="B23" s="959">
        <f>'Print Return'!L$37</f>
        <v>0</v>
      </c>
      <c r="C23" s="858">
        <f>Overflow!$M31</f>
        <v>0</v>
      </c>
      <c r="D23" s="859">
        <f t="shared" si="0"/>
        <v>0</v>
      </c>
      <c r="E23" s="825">
        <f>Overflow!G85</f>
        <v>0</v>
      </c>
      <c r="F23" s="826">
        <f t="shared" si="1"/>
        <v>0</v>
      </c>
      <c r="G23" s="960">
        <f t="shared" si="2"/>
        <v>0</v>
      </c>
      <c r="H23" s="122">
        <f>'Print Return'!L$41</f>
        <v>0</v>
      </c>
      <c r="I23" s="293">
        <f>IF(Overflow!O31&lt;2015,MIN(G23,H23)/2,MIN(G23,H23))</f>
        <v>0</v>
      </c>
      <c r="J23" s="960">
        <f t="shared" si="3"/>
        <v>0</v>
      </c>
      <c r="K23" s="293">
        <f t="shared" si="4"/>
        <v>0</v>
      </c>
      <c r="L23" s="860">
        <f>LOOKUP(Overflow!$C31,Cities!$A$3:$A$356,Cities!$D$3:$D$356)</f>
        <v>0</v>
      </c>
      <c r="M23" s="861">
        <f t="shared" si="5"/>
        <v>0</v>
      </c>
      <c r="N23" s="1"/>
      <c r="O23" s="271">
        <f>LOOKUP(Overflow!$C31,Cities!$A$3:$A$356,Cities!$C$3:$C$356)</f>
        <v>0</v>
      </c>
      <c r="P23" s="857">
        <f>IF(Overflow!O31&lt;2015,'Print Return'!L$45,J23)</f>
        <v>0</v>
      </c>
      <c r="Q23" s="858">
        <f>Overflow!$M31</f>
        <v>0</v>
      </c>
      <c r="R23" s="859">
        <f t="shared" si="6"/>
        <v>0</v>
      </c>
      <c r="S23" s="825">
        <f>Overflow!G85</f>
        <v>0</v>
      </c>
      <c r="T23" s="826">
        <f t="shared" si="7"/>
        <v>0</v>
      </c>
      <c r="U23" s="860">
        <f>LOOKUP(Overflow!$C31,Cities!$A$3:$A$356,Cities!$D$3:$D$356)</f>
        <v>0</v>
      </c>
      <c r="V23" s="861">
        <f t="shared" si="8"/>
        <v>0</v>
      </c>
    </row>
    <row r="24" spans="1:22" x14ac:dyDescent="0.2">
      <c r="A24" s="271">
        <f>LOOKUP(Overflow!$C32,Cities!$A$3:$A$356,Cities!$C$3:$C$356)</f>
        <v>0</v>
      </c>
      <c r="B24" s="959">
        <f>'Print Return'!L$37</f>
        <v>0</v>
      </c>
      <c r="C24" s="858">
        <f>Overflow!$M32</f>
        <v>0</v>
      </c>
      <c r="D24" s="859">
        <f t="shared" si="0"/>
        <v>0</v>
      </c>
      <c r="E24" s="825">
        <f>Overflow!G86</f>
        <v>0</v>
      </c>
      <c r="F24" s="826">
        <f t="shared" si="1"/>
        <v>0</v>
      </c>
      <c r="G24" s="960">
        <f t="shared" si="2"/>
        <v>0</v>
      </c>
      <c r="H24" s="122">
        <f>'Print Return'!L$41</f>
        <v>0</v>
      </c>
      <c r="I24" s="293">
        <f>IF(Overflow!O32&lt;2015,MIN(G24,H24)/2,MIN(G24,H24))</f>
        <v>0</v>
      </c>
      <c r="J24" s="960">
        <f t="shared" si="3"/>
        <v>0</v>
      </c>
      <c r="K24" s="293">
        <f t="shared" si="4"/>
        <v>0</v>
      </c>
      <c r="L24" s="860">
        <f>LOOKUP(Overflow!$C32,Cities!$A$3:$A$356,Cities!$D$3:$D$356)</f>
        <v>0</v>
      </c>
      <c r="M24" s="861">
        <f t="shared" si="5"/>
        <v>0</v>
      </c>
      <c r="N24" s="1"/>
      <c r="O24" s="271">
        <f>LOOKUP(Overflow!$C32,Cities!$A$3:$A$356,Cities!$C$3:$C$356)</f>
        <v>0</v>
      </c>
      <c r="P24" s="857">
        <f>IF(Overflow!O32&lt;2015,'Print Return'!L$45,J24)</f>
        <v>0</v>
      </c>
      <c r="Q24" s="858">
        <f>Overflow!$M32</f>
        <v>0</v>
      </c>
      <c r="R24" s="859">
        <f t="shared" si="6"/>
        <v>0</v>
      </c>
      <c r="S24" s="825">
        <f>Overflow!G86</f>
        <v>0</v>
      </c>
      <c r="T24" s="826">
        <f t="shared" si="7"/>
        <v>0</v>
      </c>
      <c r="U24" s="860">
        <f>LOOKUP(Overflow!$C32,Cities!$A$3:$A$356,Cities!$D$3:$D$356)</f>
        <v>0</v>
      </c>
      <c r="V24" s="861">
        <f t="shared" si="8"/>
        <v>0</v>
      </c>
    </row>
    <row r="25" spans="1:22" x14ac:dyDescent="0.2">
      <c r="A25" s="271">
        <f>LOOKUP(Overflow!$C33,Cities!$A$3:$A$356,Cities!$C$3:$C$356)</f>
        <v>0</v>
      </c>
      <c r="B25" s="959">
        <f>'Print Return'!L$37</f>
        <v>0</v>
      </c>
      <c r="C25" s="858">
        <f>Overflow!$M33</f>
        <v>0</v>
      </c>
      <c r="D25" s="859">
        <f t="shared" si="0"/>
        <v>0</v>
      </c>
      <c r="E25" s="825">
        <f>Overflow!G87</f>
        <v>0</v>
      </c>
      <c r="F25" s="826">
        <f t="shared" si="1"/>
        <v>0</v>
      </c>
      <c r="G25" s="960">
        <f t="shared" si="2"/>
        <v>0</v>
      </c>
      <c r="H25" s="122">
        <f>'Print Return'!L$41</f>
        <v>0</v>
      </c>
      <c r="I25" s="293">
        <f>IF(Overflow!O33&lt;2015,MIN(G25,H25)/2,MIN(G25,H25))</f>
        <v>0</v>
      </c>
      <c r="J25" s="960">
        <f t="shared" si="3"/>
        <v>0</v>
      </c>
      <c r="K25" s="293">
        <f t="shared" si="4"/>
        <v>0</v>
      </c>
      <c r="L25" s="860">
        <f>LOOKUP(Overflow!$C33,Cities!$A$3:$A$356,Cities!$D$3:$D$356)</f>
        <v>0</v>
      </c>
      <c r="M25" s="861">
        <f t="shared" si="5"/>
        <v>0</v>
      </c>
      <c r="N25" s="1"/>
      <c r="O25" s="271">
        <f>LOOKUP(Overflow!$C33,Cities!$A$3:$A$356,Cities!$C$3:$C$356)</f>
        <v>0</v>
      </c>
      <c r="P25" s="857">
        <f>IF(Overflow!O33&lt;2015,'Print Return'!L$45,J25)</f>
        <v>0</v>
      </c>
      <c r="Q25" s="858">
        <f>Overflow!$M33</f>
        <v>0</v>
      </c>
      <c r="R25" s="859">
        <f t="shared" si="6"/>
        <v>0</v>
      </c>
      <c r="S25" s="825">
        <f>Overflow!G87</f>
        <v>0</v>
      </c>
      <c r="T25" s="826">
        <f t="shared" si="7"/>
        <v>0</v>
      </c>
      <c r="U25" s="860">
        <f>LOOKUP(Overflow!$C33,Cities!$A$3:$A$356,Cities!$D$3:$D$356)</f>
        <v>0</v>
      </c>
      <c r="V25" s="861">
        <f t="shared" si="8"/>
        <v>0</v>
      </c>
    </row>
    <row r="26" spans="1:22" x14ac:dyDescent="0.2">
      <c r="A26" s="271">
        <f>LOOKUP(Overflow!$C34,Cities!$A$3:$A$356,Cities!$C$3:$C$356)</f>
        <v>0</v>
      </c>
      <c r="B26" s="959">
        <f>'Print Return'!L$37</f>
        <v>0</v>
      </c>
      <c r="C26" s="858">
        <f>Overflow!$M34</f>
        <v>0</v>
      </c>
      <c r="D26" s="859">
        <f t="shared" si="0"/>
        <v>0</v>
      </c>
      <c r="E26" s="825">
        <f>Overflow!G88</f>
        <v>0</v>
      </c>
      <c r="F26" s="826">
        <f t="shared" si="1"/>
        <v>0</v>
      </c>
      <c r="G26" s="960">
        <f t="shared" si="2"/>
        <v>0</v>
      </c>
      <c r="H26" s="122">
        <f>'Print Return'!L$41</f>
        <v>0</v>
      </c>
      <c r="I26" s="293">
        <f>IF(Overflow!O34&lt;2015,MIN(G26,H26)/2,MIN(G26,H26))</f>
        <v>0</v>
      </c>
      <c r="J26" s="960">
        <f t="shared" si="3"/>
        <v>0</v>
      </c>
      <c r="K26" s="293">
        <f t="shared" si="4"/>
        <v>0</v>
      </c>
      <c r="L26" s="860">
        <f>LOOKUP(Overflow!$C34,Cities!$A$3:$A$356,Cities!$D$3:$D$356)</f>
        <v>0</v>
      </c>
      <c r="M26" s="861">
        <f t="shared" si="5"/>
        <v>0</v>
      </c>
      <c r="N26" s="1"/>
      <c r="O26" s="271">
        <f>LOOKUP(Overflow!$C34,Cities!$A$3:$A$356,Cities!$C$3:$C$356)</f>
        <v>0</v>
      </c>
      <c r="P26" s="857">
        <f>IF(Overflow!O34&lt;2015,'Print Return'!L$45,J26)</f>
        <v>0</v>
      </c>
      <c r="Q26" s="858">
        <f>Overflow!$M34</f>
        <v>0</v>
      </c>
      <c r="R26" s="859">
        <f t="shared" si="6"/>
        <v>0</v>
      </c>
      <c r="S26" s="825">
        <f>Overflow!G88</f>
        <v>0</v>
      </c>
      <c r="T26" s="826">
        <f t="shared" si="7"/>
        <v>0</v>
      </c>
      <c r="U26" s="860">
        <f>LOOKUP(Overflow!$C34,Cities!$A$3:$A$356,Cities!$D$3:$D$356)</f>
        <v>0</v>
      </c>
      <c r="V26" s="861">
        <f t="shared" si="8"/>
        <v>0</v>
      </c>
    </row>
    <row r="27" spans="1:22" x14ac:dyDescent="0.2">
      <c r="A27" s="271">
        <f>LOOKUP(Overflow!$C35,Cities!$A$3:$A$356,Cities!$C$3:$C$356)</f>
        <v>0</v>
      </c>
      <c r="B27" s="959">
        <f>'Print Return'!L$37</f>
        <v>0</v>
      </c>
      <c r="C27" s="858">
        <f>Overflow!$M35</f>
        <v>0</v>
      </c>
      <c r="D27" s="859">
        <f t="shared" si="0"/>
        <v>0</v>
      </c>
      <c r="E27" s="825">
        <f>Overflow!G89</f>
        <v>0</v>
      </c>
      <c r="F27" s="826">
        <f t="shared" si="1"/>
        <v>0</v>
      </c>
      <c r="G27" s="960">
        <f t="shared" si="2"/>
        <v>0</v>
      </c>
      <c r="H27" s="122">
        <f>'Print Return'!L$41</f>
        <v>0</v>
      </c>
      <c r="I27" s="293">
        <f>IF(Overflow!O35&lt;2015,MIN(G27,H27)/2,MIN(G27,H27))</f>
        <v>0</v>
      </c>
      <c r="J27" s="960">
        <f t="shared" si="3"/>
        <v>0</v>
      </c>
      <c r="K27" s="293">
        <f t="shared" si="4"/>
        <v>0</v>
      </c>
      <c r="L27" s="860">
        <f>LOOKUP(Overflow!$C35,Cities!$A$3:$A$356,Cities!$D$3:$D$356)</f>
        <v>0</v>
      </c>
      <c r="M27" s="861">
        <f t="shared" si="5"/>
        <v>0</v>
      </c>
      <c r="N27" s="1"/>
      <c r="O27" s="271">
        <f>LOOKUP(Overflow!$C35,Cities!$A$3:$A$356,Cities!$C$3:$C$356)</f>
        <v>0</v>
      </c>
      <c r="P27" s="857">
        <f>IF(Overflow!O35&lt;2015,'Print Return'!L$45,J27)</f>
        <v>0</v>
      </c>
      <c r="Q27" s="858">
        <f>Overflow!$M35</f>
        <v>0</v>
      </c>
      <c r="R27" s="859">
        <f t="shared" si="6"/>
        <v>0</v>
      </c>
      <c r="S27" s="825">
        <f>Overflow!G89</f>
        <v>0</v>
      </c>
      <c r="T27" s="826">
        <f t="shared" si="7"/>
        <v>0</v>
      </c>
      <c r="U27" s="860">
        <f>LOOKUP(Overflow!$C35,Cities!$A$3:$A$356,Cities!$D$3:$D$356)</f>
        <v>0</v>
      </c>
      <c r="V27" s="861">
        <f t="shared" si="8"/>
        <v>0</v>
      </c>
    </row>
    <row r="28" spans="1:22" x14ac:dyDescent="0.2">
      <c r="A28" s="271">
        <f>LOOKUP(Overflow!$C36,Cities!$A$3:$A$356,Cities!$C$3:$C$356)</f>
        <v>0</v>
      </c>
      <c r="B28" s="959">
        <f>'Print Return'!L$37</f>
        <v>0</v>
      </c>
      <c r="C28" s="858">
        <f>Overflow!$M36</f>
        <v>0</v>
      </c>
      <c r="D28" s="859">
        <f t="shared" si="0"/>
        <v>0</v>
      </c>
      <c r="E28" s="825">
        <f>Overflow!G90</f>
        <v>0</v>
      </c>
      <c r="F28" s="826">
        <f t="shared" si="1"/>
        <v>0</v>
      </c>
      <c r="G28" s="960">
        <f t="shared" si="2"/>
        <v>0</v>
      </c>
      <c r="H28" s="122">
        <f>'Print Return'!L$41</f>
        <v>0</v>
      </c>
      <c r="I28" s="293">
        <f>IF(Overflow!O36&lt;2015,MIN(G28,H28)/2,MIN(G28,H28))</f>
        <v>0</v>
      </c>
      <c r="J28" s="960">
        <f t="shared" si="3"/>
        <v>0</v>
      </c>
      <c r="K28" s="293">
        <f t="shared" si="4"/>
        <v>0</v>
      </c>
      <c r="L28" s="860">
        <f>LOOKUP(Overflow!$C36,Cities!$A$3:$A$356,Cities!$D$3:$D$356)</f>
        <v>0</v>
      </c>
      <c r="M28" s="861">
        <f t="shared" si="5"/>
        <v>0</v>
      </c>
      <c r="N28" s="1"/>
      <c r="O28" s="271">
        <f>LOOKUP(Overflow!$C36,Cities!$A$3:$A$356,Cities!$C$3:$C$356)</f>
        <v>0</v>
      </c>
      <c r="P28" s="857">
        <f>IF(Overflow!O36&lt;2015,'Print Return'!L$45,J28)</f>
        <v>0</v>
      </c>
      <c r="Q28" s="858">
        <f>Overflow!$M36</f>
        <v>0</v>
      </c>
      <c r="R28" s="859">
        <f t="shared" si="6"/>
        <v>0</v>
      </c>
      <c r="S28" s="825">
        <f>Overflow!G90</f>
        <v>0</v>
      </c>
      <c r="T28" s="826">
        <f t="shared" si="7"/>
        <v>0</v>
      </c>
      <c r="U28" s="860">
        <f>LOOKUP(Overflow!$C36,Cities!$A$3:$A$356,Cities!$D$3:$D$356)</f>
        <v>0</v>
      </c>
      <c r="V28" s="861">
        <f t="shared" si="8"/>
        <v>0</v>
      </c>
    </row>
    <row r="29" spans="1:22" x14ac:dyDescent="0.2">
      <c r="A29" s="271">
        <f>LOOKUP(Overflow!$C37,Cities!$A$3:$A$356,Cities!$C$3:$C$356)</f>
        <v>0</v>
      </c>
      <c r="B29" s="959">
        <f>'Print Return'!L$37</f>
        <v>0</v>
      </c>
      <c r="C29" s="858">
        <f>Overflow!$M37</f>
        <v>0</v>
      </c>
      <c r="D29" s="859">
        <f t="shared" si="0"/>
        <v>0</v>
      </c>
      <c r="E29" s="825">
        <f>Overflow!G91</f>
        <v>0</v>
      </c>
      <c r="F29" s="826">
        <f t="shared" si="1"/>
        <v>0</v>
      </c>
      <c r="G29" s="960">
        <f t="shared" si="2"/>
        <v>0</v>
      </c>
      <c r="H29" s="122">
        <f>'Print Return'!L$41</f>
        <v>0</v>
      </c>
      <c r="I29" s="293">
        <f>IF(Overflow!O37&lt;2015,MIN(G29,H29)/2,MIN(G29,H29))</f>
        <v>0</v>
      </c>
      <c r="J29" s="960">
        <f t="shared" si="3"/>
        <v>0</v>
      </c>
      <c r="K29" s="293">
        <f t="shared" si="4"/>
        <v>0</v>
      </c>
      <c r="L29" s="860">
        <f>LOOKUP(Overflow!$C37,Cities!$A$3:$A$356,Cities!$D$3:$D$356)</f>
        <v>0</v>
      </c>
      <c r="M29" s="861">
        <f t="shared" si="5"/>
        <v>0</v>
      </c>
      <c r="N29" s="1"/>
      <c r="O29" s="271">
        <f>LOOKUP(Overflow!$C37,Cities!$A$3:$A$356,Cities!$C$3:$C$356)</f>
        <v>0</v>
      </c>
      <c r="P29" s="857">
        <f>IF(Overflow!O37&lt;2015,'Print Return'!L$45,J29)</f>
        <v>0</v>
      </c>
      <c r="Q29" s="858">
        <f>Overflow!$M37</f>
        <v>0</v>
      </c>
      <c r="R29" s="859">
        <f t="shared" si="6"/>
        <v>0</v>
      </c>
      <c r="S29" s="825">
        <f>Overflow!G91</f>
        <v>0</v>
      </c>
      <c r="T29" s="826">
        <f t="shared" si="7"/>
        <v>0</v>
      </c>
      <c r="U29" s="860">
        <f>LOOKUP(Overflow!$C37,Cities!$A$3:$A$356,Cities!$D$3:$D$356)</f>
        <v>0</v>
      </c>
      <c r="V29" s="861">
        <f t="shared" si="8"/>
        <v>0</v>
      </c>
    </row>
    <row r="30" spans="1:22" x14ac:dyDescent="0.2">
      <c r="A30" s="271">
        <f>LOOKUP(Overflow!$C38,Cities!$A$3:$A$356,Cities!$C$3:$C$356)</f>
        <v>0</v>
      </c>
      <c r="B30" s="959">
        <f>'Print Return'!L$37</f>
        <v>0</v>
      </c>
      <c r="C30" s="858">
        <f>Overflow!$M38</f>
        <v>0</v>
      </c>
      <c r="D30" s="859">
        <f t="shared" si="0"/>
        <v>0</v>
      </c>
      <c r="E30" s="825">
        <f>Overflow!G92</f>
        <v>0</v>
      </c>
      <c r="F30" s="826">
        <f t="shared" si="1"/>
        <v>0</v>
      </c>
      <c r="G30" s="960">
        <f t="shared" si="2"/>
        <v>0</v>
      </c>
      <c r="H30" s="122">
        <f>'Print Return'!L$41</f>
        <v>0</v>
      </c>
      <c r="I30" s="293">
        <f>IF(Overflow!O38&lt;2015,MIN(G30,H30)/2,MIN(G30,H30))</f>
        <v>0</v>
      </c>
      <c r="J30" s="960">
        <f t="shared" si="3"/>
        <v>0</v>
      </c>
      <c r="K30" s="293">
        <f t="shared" si="4"/>
        <v>0</v>
      </c>
      <c r="L30" s="860">
        <f>LOOKUP(Overflow!$C38,Cities!$A$3:$A$356,Cities!$D$3:$D$356)</f>
        <v>0</v>
      </c>
      <c r="M30" s="861">
        <f t="shared" si="5"/>
        <v>0</v>
      </c>
      <c r="N30" s="1"/>
      <c r="O30" s="271">
        <f>LOOKUP(Overflow!$C38,Cities!$A$3:$A$356,Cities!$C$3:$C$356)</f>
        <v>0</v>
      </c>
      <c r="P30" s="857">
        <f>IF(Overflow!O38&lt;2015,'Print Return'!L$45,J30)</f>
        <v>0</v>
      </c>
      <c r="Q30" s="858">
        <f>Overflow!$M38</f>
        <v>0</v>
      </c>
      <c r="R30" s="859">
        <f t="shared" si="6"/>
        <v>0</v>
      </c>
      <c r="S30" s="825">
        <f>Overflow!G92</f>
        <v>0</v>
      </c>
      <c r="T30" s="826">
        <f t="shared" si="7"/>
        <v>0</v>
      </c>
      <c r="U30" s="860">
        <f>LOOKUP(Overflow!$C38,Cities!$A$3:$A$356,Cities!$D$3:$D$356)</f>
        <v>0</v>
      </c>
      <c r="V30" s="861">
        <f t="shared" si="8"/>
        <v>0</v>
      </c>
    </row>
    <row r="31" spans="1:22" x14ac:dyDescent="0.2">
      <c r="A31" s="271">
        <f>LOOKUP(Overflow!$C39,Cities!$A$3:$A$356,Cities!$C$3:$C$356)</f>
        <v>0</v>
      </c>
      <c r="B31" s="959">
        <f>'Print Return'!L$37</f>
        <v>0</v>
      </c>
      <c r="C31" s="858">
        <f>Overflow!$M39</f>
        <v>0</v>
      </c>
      <c r="D31" s="859">
        <f t="shared" si="0"/>
        <v>0</v>
      </c>
      <c r="E31" s="825">
        <f>Overflow!G93</f>
        <v>0</v>
      </c>
      <c r="F31" s="826">
        <f t="shared" si="1"/>
        <v>0</v>
      </c>
      <c r="G31" s="960">
        <f t="shared" si="2"/>
        <v>0</v>
      </c>
      <c r="H31" s="122">
        <f>'Print Return'!L$41</f>
        <v>0</v>
      </c>
      <c r="I31" s="293">
        <f>IF(Overflow!O39&lt;2015,MIN(G31,H31)/2,MIN(G31,H31))</f>
        <v>0</v>
      </c>
      <c r="J31" s="960">
        <f t="shared" si="3"/>
        <v>0</v>
      </c>
      <c r="K31" s="293">
        <f t="shared" si="4"/>
        <v>0</v>
      </c>
      <c r="L31" s="860">
        <f>LOOKUP(Overflow!$C39,Cities!$A$3:$A$356,Cities!$D$3:$D$356)</f>
        <v>0</v>
      </c>
      <c r="M31" s="861">
        <f t="shared" si="5"/>
        <v>0</v>
      </c>
      <c r="N31" s="1"/>
      <c r="O31" s="271">
        <f>LOOKUP(Overflow!$C39,Cities!$A$3:$A$356,Cities!$C$3:$C$356)</f>
        <v>0</v>
      </c>
      <c r="P31" s="857">
        <f>IF(Overflow!O39&lt;2015,'Print Return'!L$45,J31)</f>
        <v>0</v>
      </c>
      <c r="Q31" s="858">
        <f>Overflow!$M39</f>
        <v>0</v>
      </c>
      <c r="R31" s="859">
        <f t="shared" si="6"/>
        <v>0</v>
      </c>
      <c r="S31" s="825">
        <f>Overflow!G93</f>
        <v>0</v>
      </c>
      <c r="T31" s="826">
        <f t="shared" si="7"/>
        <v>0</v>
      </c>
      <c r="U31" s="860">
        <f>LOOKUP(Overflow!$C39,Cities!$A$3:$A$356,Cities!$D$3:$D$356)</f>
        <v>0</v>
      </c>
      <c r="V31" s="861">
        <f t="shared" si="8"/>
        <v>0</v>
      </c>
    </row>
    <row r="32" spans="1:22" x14ac:dyDescent="0.2">
      <c r="A32" s="271">
        <f>LOOKUP(Overflow!$C40,Cities!$A$3:$A$356,Cities!$C$3:$C$356)</f>
        <v>0</v>
      </c>
      <c r="B32" s="959">
        <f>'Print Return'!L$37</f>
        <v>0</v>
      </c>
      <c r="C32" s="858">
        <f>Overflow!$M40</f>
        <v>0</v>
      </c>
      <c r="D32" s="859">
        <f t="shared" si="0"/>
        <v>0</v>
      </c>
      <c r="E32" s="825">
        <f>Overflow!G94</f>
        <v>0</v>
      </c>
      <c r="F32" s="826">
        <f t="shared" si="1"/>
        <v>0</v>
      </c>
      <c r="G32" s="960">
        <f t="shared" si="2"/>
        <v>0</v>
      </c>
      <c r="H32" s="122">
        <f>'Print Return'!L$41</f>
        <v>0</v>
      </c>
      <c r="I32" s="293">
        <f>IF(Overflow!O40&lt;2015,MIN(G32,H32)/2,MIN(G32,H32))</f>
        <v>0</v>
      </c>
      <c r="J32" s="960">
        <f t="shared" si="3"/>
        <v>0</v>
      </c>
      <c r="K32" s="293">
        <f t="shared" si="4"/>
        <v>0</v>
      </c>
      <c r="L32" s="860">
        <f>LOOKUP(Overflow!$C40,Cities!$A$3:$A$356,Cities!$D$3:$D$356)</f>
        <v>0</v>
      </c>
      <c r="M32" s="861">
        <f t="shared" si="5"/>
        <v>0</v>
      </c>
      <c r="N32" s="1"/>
      <c r="O32" s="271">
        <f>LOOKUP(Overflow!$C40,Cities!$A$3:$A$356,Cities!$C$3:$C$356)</f>
        <v>0</v>
      </c>
      <c r="P32" s="857">
        <f>IF(Overflow!O40&lt;2015,'Print Return'!L$45,J32)</f>
        <v>0</v>
      </c>
      <c r="Q32" s="858">
        <f>Overflow!$M40</f>
        <v>0</v>
      </c>
      <c r="R32" s="859">
        <f t="shared" si="6"/>
        <v>0</v>
      </c>
      <c r="S32" s="825">
        <f>Overflow!G94</f>
        <v>0</v>
      </c>
      <c r="T32" s="826">
        <f t="shared" si="7"/>
        <v>0</v>
      </c>
      <c r="U32" s="860">
        <f>LOOKUP(Overflow!$C40,Cities!$A$3:$A$356,Cities!$D$3:$D$356)</f>
        <v>0</v>
      </c>
      <c r="V32" s="861">
        <f t="shared" si="8"/>
        <v>0</v>
      </c>
    </row>
    <row r="33" spans="1:22" x14ac:dyDescent="0.2">
      <c r="A33" s="271">
        <f>LOOKUP(Overflow!$C41,Cities!$A$3:$A$356,Cities!$C$3:$C$356)</f>
        <v>0</v>
      </c>
      <c r="B33" s="959">
        <f>'Print Return'!L$37</f>
        <v>0</v>
      </c>
      <c r="C33" s="858">
        <f>Overflow!$M41</f>
        <v>0</v>
      </c>
      <c r="D33" s="859">
        <f t="shared" si="0"/>
        <v>0</v>
      </c>
      <c r="E33" s="825">
        <f>Overflow!G95</f>
        <v>0</v>
      </c>
      <c r="F33" s="826">
        <f t="shared" si="1"/>
        <v>0</v>
      </c>
      <c r="G33" s="960">
        <f t="shared" si="2"/>
        <v>0</v>
      </c>
      <c r="H33" s="122">
        <f>'Print Return'!L$41</f>
        <v>0</v>
      </c>
      <c r="I33" s="293">
        <f>IF(Overflow!O41&lt;2015,MIN(G33,H33)/2,MIN(G33,H33))</f>
        <v>0</v>
      </c>
      <c r="J33" s="960">
        <f t="shared" si="3"/>
        <v>0</v>
      </c>
      <c r="K33" s="293">
        <f t="shared" si="4"/>
        <v>0</v>
      </c>
      <c r="L33" s="860">
        <f>LOOKUP(Overflow!$C41,Cities!$A$3:$A$356,Cities!$D$3:$D$356)</f>
        <v>0</v>
      </c>
      <c r="M33" s="861">
        <f t="shared" si="5"/>
        <v>0</v>
      </c>
      <c r="N33" s="1"/>
      <c r="O33" s="271">
        <f>LOOKUP(Overflow!$C41,Cities!$A$3:$A$356,Cities!$C$3:$C$356)</f>
        <v>0</v>
      </c>
      <c r="P33" s="857">
        <f>IF(Overflow!O41&lt;2015,'Print Return'!L$45,J33)</f>
        <v>0</v>
      </c>
      <c r="Q33" s="858">
        <f>Overflow!$M41</f>
        <v>0</v>
      </c>
      <c r="R33" s="859">
        <f t="shared" si="6"/>
        <v>0</v>
      </c>
      <c r="S33" s="825">
        <f>Overflow!G95</f>
        <v>0</v>
      </c>
      <c r="T33" s="826">
        <f t="shared" si="7"/>
        <v>0</v>
      </c>
      <c r="U33" s="860">
        <f>LOOKUP(Overflow!$C41,Cities!$A$3:$A$356,Cities!$D$3:$D$356)</f>
        <v>0</v>
      </c>
      <c r="V33" s="861">
        <f t="shared" si="8"/>
        <v>0</v>
      </c>
    </row>
    <row r="34" spans="1:22" x14ac:dyDescent="0.2">
      <c r="A34" s="271">
        <f>LOOKUP(Overflow!$C42,Cities!$A$3:$A$356,Cities!$C$3:$C$356)</f>
        <v>0</v>
      </c>
      <c r="B34" s="959">
        <f>'Print Return'!L$37</f>
        <v>0</v>
      </c>
      <c r="C34" s="858">
        <f>Overflow!$M42</f>
        <v>0</v>
      </c>
      <c r="D34" s="859">
        <f t="shared" si="0"/>
        <v>0</v>
      </c>
      <c r="E34" s="825">
        <f>Overflow!G96</f>
        <v>0</v>
      </c>
      <c r="F34" s="826">
        <f t="shared" si="1"/>
        <v>0</v>
      </c>
      <c r="G34" s="960">
        <f t="shared" si="2"/>
        <v>0</v>
      </c>
      <c r="H34" s="122">
        <f>'Print Return'!L$41</f>
        <v>0</v>
      </c>
      <c r="I34" s="293">
        <f>IF(Overflow!O42&lt;2015,MIN(G34,H34)/2,MIN(G34,H34))</f>
        <v>0</v>
      </c>
      <c r="J34" s="960">
        <f t="shared" si="3"/>
        <v>0</v>
      </c>
      <c r="K34" s="293">
        <f t="shared" si="4"/>
        <v>0</v>
      </c>
      <c r="L34" s="860">
        <f>LOOKUP(Overflow!$C42,Cities!$A$3:$A$356,Cities!$D$3:$D$356)</f>
        <v>0</v>
      </c>
      <c r="M34" s="861">
        <f t="shared" si="5"/>
        <v>0</v>
      </c>
      <c r="N34" s="1"/>
      <c r="O34" s="271">
        <f>LOOKUP(Overflow!$C42,Cities!$A$3:$A$356,Cities!$C$3:$C$356)</f>
        <v>0</v>
      </c>
      <c r="P34" s="857">
        <f>IF(Overflow!O42&lt;2015,'Print Return'!L$45,J34)</f>
        <v>0</v>
      </c>
      <c r="Q34" s="858">
        <f>Overflow!$M42</f>
        <v>0</v>
      </c>
      <c r="R34" s="859">
        <f t="shared" si="6"/>
        <v>0</v>
      </c>
      <c r="S34" s="825">
        <f>Overflow!G96</f>
        <v>0</v>
      </c>
      <c r="T34" s="826">
        <f t="shared" si="7"/>
        <v>0</v>
      </c>
      <c r="U34" s="860">
        <f>LOOKUP(Overflow!$C42,Cities!$A$3:$A$356,Cities!$D$3:$D$356)</f>
        <v>0</v>
      </c>
      <c r="V34" s="861">
        <f t="shared" si="8"/>
        <v>0</v>
      </c>
    </row>
    <row r="35" spans="1:22" x14ac:dyDescent="0.2">
      <c r="A35" s="271">
        <f>LOOKUP(Overflow!$C43,Cities!$A$3:$A$356,Cities!$C$3:$C$356)</f>
        <v>0</v>
      </c>
      <c r="B35" s="959">
        <f>'Print Return'!L$37</f>
        <v>0</v>
      </c>
      <c r="C35" s="858">
        <f>Overflow!$M43</f>
        <v>0</v>
      </c>
      <c r="D35" s="859">
        <f t="shared" si="0"/>
        <v>0</v>
      </c>
      <c r="E35" s="825">
        <f>Overflow!G97</f>
        <v>0</v>
      </c>
      <c r="F35" s="826">
        <f t="shared" si="1"/>
        <v>0</v>
      </c>
      <c r="G35" s="960">
        <f t="shared" si="2"/>
        <v>0</v>
      </c>
      <c r="H35" s="122">
        <f>'Print Return'!L$41</f>
        <v>0</v>
      </c>
      <c r="I35" s="293">
        <f>IF(Overflow!O43&lt;2015,MIN(G35,H35)/2,MIN(G35,H35))</f>
        <v>0</v>
      </c>
      <c r="J35" s="960">
        <f t="shared" si="3"/>
        <v>0</v>
      </c>
      <c r="K35" s="293">
        <f t="shared" si="4"/>
        <v>0</v>
      </c>
      <c r="L35" s="860">
        <f>LOOKUP(Overflow!$C43,Cities!$A$3:$A$356,Cities!$D$3:$D$356)</f>
        <v>0</v>
      </c>
      <c r="M35" s="861">
        <f t="shared" si="5"/>
        <v>0</v>
      </c>
      <c r="N35" s="1"/>
      <c r="O35" s="271">
        <f>LOOKUP(Overflow!$C43,Cities!$A$3:$A$356,Cities!$C$3:$C$356)</f>
        <v>0</v>
      </c>
      <c r="P35" s="857">
        <f>IF(Overflow!O43&lt;2015,'Print Return'!L$45,J35)</f>
        <v>0</v>
      </c>
      <c r="Q35" s="858">
        <f>Overflow!$M43</f>
        <v>0</v>
      </c>
      <c r="R35" s="859">
        <f t="shared" si="6"/>
        <v>0</v>
      </c>
      <c r="S35" s="825">
        <f>Overflow!G97</f>
        <v>0</v>
      </c>
      <c r="T35" s="826">
        <f t="shared" si="7"/>
        <v>0</v>
      </c>
      <c r="U35" s="860">
        <f>LOOKUP(Overflow!$C43,Cities!$A$3:$A$356,Cities!$D$3:$D$356)</f>
        <v>0</v>
      </c>
      <c r="V35" s="861">
        <f t="shared" si="8"/>
        <v>0</v>
      </c>
    </row>
    <row r="36" spans="1:22" x14ac:dyDescent="0.2">
      <c r="A36" s="271">
        <f>LOOKUP(Overflow!$C44,Cities!$A$3:$A$356,Cities!$C$3:$C$356)</f>
        <v>0</v>
      </c>
      <c r="B36" s="959">
        <f>'Print Return'!L$37</f>
        <v>0</v>
      </c>
      <c r="C36" s="858">
        <f>Overflow!$M44</f>
        <v>0</v>
      </c>
      <c r="D36" s="859">
        <f t="shared" si="0"/>
        <v>0</v>
      </c>
      <c r="E36" s="825">
        <f>Overflow!G98</f>
        <v>0</v>
      </c>
      <c r="F36" s="826">
        <f t="shared" si="1"/>
        <v>0</v>
      </c>
      <c r="G36" s="960">
        <f t="shared" si="2"/>
        <v>0</v>
      </c>
      <c r="H36" s="122">
        <f>'Print Return'!L$41</f>
        <v>0</v>
      </c>
      <c r="I36" s="293">
        <f>IF(Overflow!O44&lt;2015,MIN(G36,H36)/2,MIN(G36,H36))</f>
        <v>0</v>
      </c>
      <c r="J36" s="960">
        <f t="shared" si="3"/>
        <v>0</v>
      </c>
      <c r="K36" s="293">
        <f t="shared" si="4"/>
        <v>0</v>
      </c>
      <c r="L36" s="860">
        <f>LOOKUP(Overflow!$C44,Cities!$A$3:$A$356,Cities!$D$3:$D$356)</f>
        <v>0</v>
      </c>
      <c r="M36" s="861">
        <f t="shared" si="5"/>
        <v>0</v>
      </c>
      <c r="N36" s="1"/>
      <c r="O36" s="271">
        <f>LOOKUP(Overflow!$C44,Cities!$A$3:$A$356,Cities!$C$3:$C$356)</f>
        <v>0</v>
      </c>
      <c r="P36" s="857">
        <f>IF(Overflow!O44&lt;2015,'Print Return'!L$45,J36)</f>
        <v>0</v>
      </c>
      <c r="Q36" s="858">
        <f>Overflow!$M44</f>
        <v>0</v>
      </c>
      <c r="R36" s="859">
        <f t="shared" si="6"/>
        <v>0</v>
      </c>
      <c r="S36" s="825">
        <f>Overflow!G98</f>
        <v>0</v>
      </c>
      <c r="T36" s="826">
        <f t="shared" si="7"/>
        <v>0</v>
      </c>
      <c r="U36" s="860">
        <f>LOOKUP(Overflow!$C44,Cities!$A$3:$A$356,Cities!$D$3:$D$356)</f>
        <v>0</v>
      </c>
      <c r="V36" s="861">
        <f t="shared" si="8"/>
        <v>0</v>
      </c>
    </row>
    <row r="37" spans="1:22" x14ac:dyDescent="0.2">
      <c r="A37" s="271">
        <f>LOOKUP(Overflow!$C45,Cities!$A$3:$A$356,Cities!$C$3:$C$356)</f>
        <v>0</v>
      </c>
      <c r="B37" s="959">
        <f>'Print Return'!L$37</f>
        <v>0</v>
      </c>
      <c r="C37" s="858">
        <f>Overflow!$M45</f>
        <v>0</v>
      </c>
      <c r="D37" s="859">
        <f t="shared" si="0"/>
        <v>0</v>
      </c>
      <c r="E37" s="825">
        <f>Overflow!G99</f>
        <v>0</v>
      </c>
      <c r="F37" s="826">
        <f t="shared" si="1"/>
        <v>0</v>
      </c>
      <c r="G37" s="960">
        <f t="shared" si="2"/>
        <v>0</v>
      </c>
      <c r="H37" s="122">
        <f>'Print Return'!L$41</f>
        <v>0</v>
      </c>
      <c r="I37" s="293">
        <f>IF(Overflow!O45&lt;2015,MIN(G37,H37)/2,MIN(G37,H37))</f>
        <v>0</v>
      </c>
      <c r="J37" s="960">
        <f t="shared" si="3"/>
        <v>0</v>
      </c>
      <c r="K37" s="293">
        <f t="shared" si="4"/>
        <v>0</v>
      </c>
      <c r="L37" s="860">
        <f>LOOKUP(Overflow!$C45,Cities!$A$3:$A$356,Cities!$D$3:$D$356)</f>
        <v>0</v>
      </c>
      <c r="M37" s="861">
        <f t="shared" si="5"/>
        <v>0</v>
      </c>
      <c r="N37" s="1"/>
      <c r="O37" s="271">
        <f>LOOKUP(Overflow!$C45,Cities!$A$3:$A$356,Cities!$C$3:$C$356)</f>
        <v>0</v>
      </c>
      <c r="P37" s="857">
        <f>IF(Overflow!O45&lt;2015,'Print Return'!L$45,J37)</f>
        <v>0</v>
      </c>
      <c r="Q37" s="858">
        <f>Overflow!$M45</f>
        <v>0</v>
      </c>
      <c r="R37" s="859">
        <f t="shared" si="6"/>
        <v>0</v>
      </c>
      <c r="S37" s="825">
        <f>Overflow!G99</f>
        <v>0</v>
      </c>
      <c r="T37" s="826">
        <f t="shared" si="7"/>
        <v>0</v>
      </c>
      <c r="U37" s="860">
        <f>LOOKUP(Overflow!$C45,Cities!$A$3:$A$356,Cities!$D$3:$D$356)</f>
        <v>0</v>
      </c>
      <c r="V37" s="861">
        <f t="shared" si="8"/>
        <v>0</v>
      </c>
    </row>
    <row r="38" spans="1:22" x14ac:dyDescent="0.2">
      <c r="A38" s="271">
        <f>LOOKUP(Overflow!$C46,Cities!$A$3:$A$356,Cities!$C$3:$C$356)</f>
        <v>0</v>
      </c>
      <c r="B38" s="959">
        <f>'Print Return'!L$37</f>
        <v>0</v>
      </c>
      <c r="C38" s="858">
        <f>Overflow!$M46</f>
        <v>0</v>
      </c>
      <c r="D38" s="859">
        <f t="shared" si="0"/>
        <v>0</v>
      </c>
      <c r="E38" s="825">
        <f>Overflow!G100</f>
        <v>0</v>
      </c>
      <c r="F38" s="826">
        <f t="shared" si="1"/>
        <v>0</v>
      </c>
      <c r="G38" s="960">
        <f t="shared" si="2"/>
        <v>0</v>
      </c>
      <c r="H38" s="122">
        <f>'Print Return'!L$41</f>
        <v>0</v>
      </c>
      <c r="I38" s="293">
        <f>IF(Overflow!O46&lt;2015,MIN(G38,H38)/2,MIN(G38,H38))</f>
        <v>0</v>
      </c>
      <c r="J38" s="960">
        <f t="shared" si="3"/>
        <v>0</v>
      </c>
      <c r="K38" s="293">
        <f t="shared" si="4"/>
        <v>0</v>
      </c>
      <c r="L38" s="860">
        <f>LOOKUP(Overflow!$C46,Cities!$A$3:$A$356,Cities!$D$3:$D$356)</f>
        <v>0</v>
      </c>
      <c r="M38" s="861">
        <f t="shared" si="5"/>
        <v>0</v>
      </c>
      <c r="N38" s="1"/>
      <c r="O38" s="271">
        <f>LOOKUP(Overflow!$C46,Cities!$A$3:$A$356,Cities!$C$3:$C$356)</f>
        <v>0</v>
      </c>
      <c r="P38" s="857">
        <f>IF(Overflow!O46&lt;2015,'Print Return'!L$45,J38)</f>
        <v>0</v>
      </c>
      <c r="Q38" s="858">
        <f>Overflow!$M46</f>
        <v>0</v>
      </c>
      <c r="R38" s="859">
        <f t="shared" si="6"/>
        <v>0</v>
      </c>
      <c r="S38" s="825">
        <f>Overflow!G100</f>
        <v>0</v>
      </c>
      <c r="T38" s="826">
        <f t="shared" si="7"/>
        <v>0</v>
      </c>
      <c r="U38" s="860">
        <f>LOOKUP(Overflow!$C46,Cities!$A$3:$A$356,Cities!$D$3:$D$356)</f>
        <v>0</v>
      </c>
      <c r="V38" s="861">
        <f t="shared" si="8"/>
        <v>0</v>
      </c>
    </row>
    <row r="39" spans="1:22" x14ac:dyDescent="0.2">
      <c r="A39" s="271">
        <f>LOOKUP(Overflow!$C47,Cities!$A$3:$A$356,Cities!$C$3:$C$356)</f>
        <v>0</v>
      </c>
      <c r="B39" s="959">
        <f>'Print Return'!L$37</f>
        <v>0</v>
      </c>
      <c r="C39" s="858">
        <f>Overflow!$M47</f>
        <v>0</v>
      </c>
      <c r="D39" s="859">
        <f t="shared" si="0"/>
        <v>0</v>
      </c>
      <c r="E39" s="825">
        <f>Overflow!G101</f>
        <v>0</v>
      </c>
      <c r="F39" s="826">
        <f t="shared" si="1"/>
        <v>0</v>
      </c>
      <c r="G39" s="960">
        <f t="shared" si="2"/>
        <v>0</v>
      </c>
      <c r="H39" s="122">
        <f>'Print Return'!L$41</f>
        <v>0</v>
      </c>
      <c r="I39" s="293">
        <f>IF(Overflow!O47&lt;2015,MIN(G39,H39)/2,MIN(G39,H39))</f>
        <v>0</v>
      </c>
      <c r="J39" s="960">
        <f t="shared" si="3"/>
        <v>0</v>
      </c>
      <c r="K39" s="293">
        <f t="shared" si="4"/>
        <v>0</v>
      </c>
      <c r="L39" s="860">
        <f>LOOKUP(Overflow!$C47,Cities!$A$3:$A$356,Cities!$D$3:$D$356)</f>
        <v>0</v>
      </c>
      <c r="M39" s="861">
        <f t="shared" si="5"/>
        <v>0</v>
      </c>
      <c r="N39" s="1"/>
      <c r="O39" s="271">
        <f>LOOKUP(Overflow!$C47,Cities!$A$3:$A$356,Cities!$C$3:$C$356)</f>
        <v>0</v>
      </c>
      <c r="P39" s="857">
        <f>IF(Overflow!O47&lt;2015,'Print Return'!L$45,J39)</f>
        <v>0</v>
      </c>
      <c r="Q39" s="858">
        <f>Overflow!$M47</f>
        <v>0</v>
      </c>
      <c r="R39" s="859">
        <f t="shared" si="6"/>
        <v>0</v>
      </c>
      <c r="S39" s="825">
        <f>Overflow!G101</f>
        <v>0</v>
      </c>
      <c r="T39" s="826">
        <f t="shared" si="7"/>
        <v>0</v>
      </c>
      <c r="U39" s="860">
        <f>LOOKUP(Overflow!$C47,Cities!$A$3:$A$356,Cities!$D$3:$D$356)</f>
        <v>0</v>
      </c>
      <c r="V39" s="861">
        <f t="shared" si="8"/>
        <v>0</v>
      </c>
    </row>
    <row r="40" spans="1:22" x14ac:dyDescent="0.2">
      <c r="A40" s="271">
        <f>LOOKUP(Overflow!$C48,Cities!$A$3:$A$356,Cities!$C$3:$C$356)</f>
        <v>0</v>
      </c>
      <c r="B40" s="959">
        <f>'Print Return'!L$37</f>
        <v>0</v>
      </c>
      <c r="C40" s="858">
        <f>Overflow!$M48</f>
        <v>0</v>
      </c>
      <c r="D40" s="859">
        <f t="shared" si="0"/>
        <v>0</v>
      </c>
      <c r="E40" s="825">
        <f>Overflow!G102</f>
        <v>0</v>
      </c>
      <c r="F40" s="826">
        <f t="shared" si="1"/>
        <v>0</v>
      </c>
      <c r="G40" s="960">
        <f t="shared" si="2"/>
        <v>0</v>
      </c>
      <c r="H40" s="122">
        <f>'Print Return'!L$41</f>
        <v>0</v>
      </c>
      <c r="I40" s="293">
        <f>IF(Overflow!O48&lt;2015,MIN(G40,H40)/2,MIN(G40,H40))</f>
        <v>0</v>
      </c>
      <c r="J40" s="960">
        <f t="shared" si="3"/>
        <v>0</v>
      </c>
      <c r="K40" s="293">
        <f t="shared" si="4"/>
        <v>0</v>
      </c>
      <c r="L40" s="860">
        <f>LOOKUP(Overflow!$C48,Cities!$A$3:$A$356,Cities!$D$3:$D$356)</f>
        <v>0</v>
      </c>
      <c r="M40" s="861">
        <f t="shared" si="5"/>
        <v>0</v>
      </c>
      <c r="N40" s="1"/>
      <c r="O40" s="271">
        <f>LOOKUP(Overflow!$C48,Cities!$A$3:$A$356,Cities!$C$3:$C$356)</f>
        <v>0</v>
      </c>
      <c r="P40" s="857">
        <f>IF(Overflow!O48&lt;2015,'Print Return'!L$45,J40)</f>
        <v>0</v>
      </c>
      <c r="Q40" s="858">
        <f>Overflow!$M48</f>
        <v>0</v>
      </c>
      <c r="R40" s="859">
        <f t="shared" si="6"/>
        <v>0</v>
      </c>
      <c r="S40" s="825">
        <f>Overflow!G102</f>
        <v>0</v>
      </c>
      <c r="T40" s="826">
        <f t="shared" si="7"/>
        <v>0</v>
      </c>
      <c r="U40" s="860">
        <f>LOOKUP(Overflow!$C48,Cities!$A$3:$A$356,Cities!$D$3:$D$356)</f>
        <v>0</v>
      </c>
      <c r="V40" s="861">
        <f t="shared" si="8"/>
        <v>0</v>
      </c>
    </row>
    <row r="41" spans="1:22" x14ac:dyDescent="0.2">
      <c r="A41" s="271">
        <f>LOOKUP(Overflow!$C49,Cities!$A$3:$A$356,Cities!$C$3:$C$356)</f>
        <v>0</v>
      </c>
      <c r="B41" s="959">
        <f>'Print Return'!L$37</f>
        <v>0</v>
      </c>
      <c r="C41" s="858">
        <f>Overflow!$M49</f>
        <v>0</v>
      </c>
      <c r="D41" s="859">
        <f t="shared" si="0"/>
        <v>0</v>
      </c>
      <c r="E41" s="825">
        <f>Overflow!G103</f>
        <v>0</v>
      </c>
      <c r="F41" s="826">
        <f t="shared" si="1"/>
        <v>0</v>
      </c>
      <c r="G41" s="960">
        <f t="shared" si="2"/>
        <v>0</v>
      </c>
      <c r="H41" s="122">
        <f>'Print Return'!L$41</f>
        <v>0</v>
      </c>
      <c r="I41" s="293">
        <f>IF(Overflow!O49&lt;2015,MIN(G41,H41)/2,MIN(G41,H41))</f>
        <v>0</v>
      </c>
      <c r="J41" s="960">
        <f t="shared" si="3"/>
        <v>0</v>
      </c>
      <c r="K41" s="293">
        <f t="shared" si="4"/>
        <v>0</v>
      </c>
      <c r="L41" s="860">
        <f>LOOKUP(Overflow!$C49,Cities!$A$3:$A$356,Cities!$D$3:$D$356)</f>
        <v>0</v>
      </c>
      <c r="M41" s="861">
        <f t="shared" si="5"/>
        <v>0</v>
      </c>
      <c r="N41" s="1"/>
      <c r="O41" s="271">
        <f>LOOKUP(Overflow!$C49,Cities!$A$3:$A$356,Cities!$C$3:$C$356)</f>
        <v>0</v>
      </c>
      <c r="P41" s="857">
        <f>IF(Overflow!O49&lt;2015,'Print Return'!L$45,J41)</f>
        <v>0</v>
      </c>
      <c r="Q41" s="858">
        <f>Overflow!$M49</f>
        <v>0</v>
      </c>
      <c r="R41" s="859">
        <f t="shared" si="6"/>
        <v>0</v>
      </c>
      <c r="S41" s="825">
        <f>Overflow!G103</f>
        <v>0</v>
      </c>
      <c r="T41" s="826">
        <f t="shared" si="7"/>
        <v>0</v>
      </c>
      <c r="U41" s="860">
        <f>LOOKUP(Overflow!$C49,Cities!$A$3:$A$356,Cities!$D$3:$D$356)</f>
        <v>0</v>
      </c>
      <c r="V41" s="861">
        <f t="shared" si="8"/>
        <v>0</v>
      </c>
    </row>
    <row r="42" spans="1:22" x14ac:dyDescent="0.2">
      <c r="A42" s="271">
        <f>LOOKUP(Overflow!$C50,Cities!$A$3:$A$356,Cities!$C$3:$C$356)</f>
        <v>0</v>
      </c>
      <c r="B42" s="959">
        <f>'Print Return'!L$37</f>
        <v>0</v>
      </c>
      <c r="C42" s="858">
        <f>Overflow!$M50</f>
        <v>0</v>
      </c>
      <c r="D42" s="859">
        <f t="shared" si="0"/>
        <v>0</v>
      </c>
      <c r="E42" s="825">
        <f>Overflow!G104</f>
        <v>0</v>
      </c>
      <c r="F42" s="826">
        <f t="shared" si="1"/>
        <v>0</v>
      </c>
      <c r="G42" s="960">
        <f t="shared" si="2"/>
        <v>0</v>
      </c>
      <c r="H42" s="122">
        <f>'Print Return'!L$41</f>
        <v>0</v>
      </c>
      <c r="I42" s="293">
        <f>IF(Overflow!O50&lt;2015,MIN(G42,H42)/2,MIN(G42,H42))</f>
        <v>0</v>
      </c>
      <c r="J42" s="960">
        <f t="shared" si="3"/>
        <v>0</v>
      </c>
      <c r="K42" s="293">
        <f t="shared" si="4"/>
        <v>0</v>
      </c>
      <c r="L42" s="860">
        <f>LOOKUP(Overflow!$C50,Cities!$A$3:$A$356,Cities!$D$3:$D$356)</f>
        <v>0</v>
      </c>
      <c r="M42" s="861">
        <f t="shared" si="5"/>
        <v>0</v>
      </c>
      <c r="N42" s="1"/>
      <c r="O42" s="271">
        <f>LOOKUP(Overflow!$C50,Cities!$A$3:$A$356,Cities!$C$3:$C$356)</f>
        <v>0</v>
      </c>
      <c r="P42" s="857">
        <f>IF(Overflow!O50&lt;2015,'Print Return'!L$45,J42)</f>
        <v>0</v>
      </c>
      <c r="Q42" s="858">
        <f>Overflow!$M50</f>
        <v>0</v>
      </c>
      <c r="R42" s="859">
        <f t="shared" si="6"/>
        <v>0</v>
      </c>
      <c r="S42" s="825">
        <f>Overflow!G104</f>
        <v>0</v>
      </c>
      <c r="T42" s="826">
        <f t="shared" si="7"/>
        <v>0</v>
      </c>
      <c r="U42" s="860">
        <f>LOOKUP(Overflow!$C50,Cities!$A$3:$A$356,Cities!$D$3:$D$356)</f>
        <v>0</v>
      </c>
      <c r="V42" s="861">
        <f t="shared" si="8"/>
        <v>0</v>
      </c>
    </row>
    <row r="43" spans="1:22" x14ac:dyDescent="0.2">
      <c r="A43" s="271">
        <f>LOOKUP(Overflow!$C51,Cities!$A$3:$A$356,Cities!$C$3:$C$356)</f>
        <v>0</v>
      </c>
      <c r="B43" s="959">
        <f>'Print Return'!L$37</f>
        <v>0</v>
      </c>
      <c r="C43" s="858">
        <f>Overflow!$M51</f>
        <v>0</v>
      </c>
      <c r="D43" s="859">
        <f t="shared" si="0"/>
        <v>0</v>
      </c>
      <c r="E43" s="825">
        <f>Overflow!G105</f>
        <v>0</v>
      </c>
      <c r="F43" s="826">
        <f t="shared" si="1"/>
        <v>0</v>
      </c>
      <c r="G43" s="960">
        <f t="shared" si="2"/>
        <v>0</v>
      </c>
      <c r="H43" s="122">
        <f>'Print Return'!L$41</f>
        <v>0</v>
      </c>
      <c r="I43" s="293">
        <f>IF(Overflow!O51&lt;2015,MIN(G43,H43)/2,MIN(G43,H43))</f>
        <v>0</v>
      </c>
      <c r="J43" s="960">
        <f t="shared" si="3"/>
        <v>0</v>
      </c>
      <c r="K43" s="293">
        <f t="shared" si="4"/>
        <v>0</v>
      </c>
      <c r="L43" s="860">
        <f>LOOKUP(Overflow!$C51,Cities!$A$3:$A$356,Cities!$D$3:$D$356)</f>
        <v>0</v>
      </c>
      <c r="M43" s="861">
        <f t="shared" si="5"/>
        <v>0</v>
      </c>
      <c r="N43" s="1"/>
      <c r="O43" s="271">
        <f>LOOKUP(Overflow!$C51,Cities!$A$3:$A$356,Cities!$C$3:$C$356)</f>
        <v>0</v>
      </c>
      <c r="P43" s="857">
        <f>IF(Overflow!O51&lt;2015,'Print Return'!L$45,J43)</f>
        <v>0</v>
      </c>
      <c r="Q43" s="858">
        <f>Overflow!$M51</f>
        <v>0</v>
      </c>
      <c r="R43" s="859">
        <f t="shared" si="6"/>
        <v>0</v>
      </c>
      <c r="S43" s="825">
        <f>Overflow!G105</f>
        <v>0</v>
      </c>
      <c r="T43" s="826">
        <f t="shared" si="7"/>
        <v>0</v>
      </c>
      <c r="U43" s="860">
        <f>LOOKUP(Overflow!$C51,Cities!$A$3:$A$356,Cities!$D$3:$D$356)</f>
        <v>0</v>
      </c>
      <c r="V43" s="861">
        <f t="shared" si="8"/>
        <v>0</v>
      </c>
    </row>
    <row r="44" spans="1:22" x14ac:dyDescent="0.2">
      <c r="A44" s="271">
        <f>LOOKUP(Overflow!$C52,Cities!$A$3:$A$356,Cities!$C$3:$C$356)</f>
        <v>0</v>
      </c>
      <c r="B44" s="959">
        <f>'Print Return'!L$37</f>
        <v>0</v>
      </c>
      <c r="C44" s="858">
        <f>Overflow!$M52</f>
        <v>0</v>
      </c>
      <c r="D44" s="859">
        <f t="shared" si="0"/>
        <v>0</v>
      </c>
      <c r="E44" s="825">
        <f>Overflow!G106</f>
        <v>0</v>
      </c>
      <c r="F44" s="826">
        <f t="shared" si="1"/>
        <v>0</v>
      </c>
      <c r="G44" s="960">
        <f t="shared" si="2"/>
        <v>0</v>
      </c>
      <c r="H44" s="122">
        <f>'Print Return'!L$41</f>
        <v>0</v>
      </c>
      <c r="I44" s="293">
        <f>IF(Overflow!O52&lt;2015,MIN(G44,H44)/2,MIN(G44,H44))</f>
        <v>0</v>
      </c>
      <c r="J44" s="960">
        <f t="shared" si="3"/>
        <v>0</v>
      </c>
      <c r="K44" s="293">
        <f t="shared" si="4"/>
        <v>0</v>
      </c>
      <c r="L44" s="860">
        <f>LOOKUP(Overflow!$C52,Cities!$A$3:$A$356,Cities!$D$3:$D$356)</f>
        <v>0</v>
      </c>
      <c r="M44" s="861">
        <f t="shared" si="5"/>
        <v>0</v>
      </c>
      <c r="N44" s="1"/>
      <c r="O44" s="271">
        <f>LOOKUP(Overflow!$C52,Cities!$A$3:$A$356,Cities!$C$3:$C$356)</f>
        <v>0</v>
      </c>
      <c r="P44" s="857">
        <f>IF(Overflow!O52&lt;2015,'Print Return'!L$45,J44)</f>
        <v>0</v>
      </c>
      <c r="Q44" s="858">
        <f>Overflow!$M52</f>
        <v>0</v>
      </c>
      <c r="R44" s="859">
        <f t="shared" si="6"/>
        <v>0</v>
      </c>
      <c r="S44" s="825">
        <f>Overflow!G106</f>
        <v>0</v>
      </c>
      <c r="T44" s="826">
        <f t="shared" si="7"/>
        <v>0</v>
      </c>
      <c r="U44" s="860">
        <f>LOOKUP(Overflow!$C52,Cities!$A$3:$A$356,Cities!$D$3:$D$356)</f>
        <v>0</v>
      </c>
      <c r="V44" s="861">
        <f t="shared" si="8"/>
        <v>0</v>
      </c>
    </row>
    <row r="45" spans="1:22" x14ac:dyDescent="0.2">
      <c r="A45" s="271">
        <f>LOOKUP(Overflow!$C53,Cities!$A$3:$A$356,Cities!$C$3:$C$356)</f>
        <v>0</v>
      </c>
      <c r="B45" s="959">
        <f>'Print Return'!L$37</f>
        <v>0</v>
      </c>
      <c r="C45" s="858">
        <f>Overflow!$M53</f>
        <v>0</v>
      </c>
      <c r="D45" s="859">
        <f t="shared" si="0"/>
        <v>0</v>
      </c>
      <c r="E45" s="825">
        <f>Overflow!G107</f>
        <v>0</v>
      </c>
      <c r="F45" s="826">
        <f t="shared" si="1"/>
        <v>0</v>
      </c>
      <c r="G45" s="960">
        <f t="shared" si="2"/>
        <v>0</v>
      </c>
      <c r="H45" s="122">
        <f>'Print Return'!L$41</f>
        <v>0</v>
      </c>
      <c r="I45" s="293">
        <f>IF(Overflow!O53&lt;2015,MIN(G45,H45)/2,MIN(G45,H45))</f>
        <v>0</v>
      </c>
      <c r="J45" s="960">
        <f t="shared" si="3"/>
        <v>0</v>
      </c>
      <c r="K45" s="293">
        <f t="shared" si="4"/>
        <v>0</v>
      </c>
      <c r="L45" s="860">
        <f>LOOKUP(Overflow!$C53,Cities!$A$3:$A$356,Cities!$D$3:$D$356)</f>
        <v>0</v>
      </c>
      <c r="M45" s="861">
        <f t="shared" si="5"/>
        <v>0</v>
      </c>
      <c r="N45" s="1"/>
      <c r="O45" s="271">
        <f>LOOKUP(Overflow!$C53,Cities!$A$3:$A$356,Cities!$C$3:$C$356)</f>
        <v>0</v>
      </c>
      <c r="P45" s="857">
        <f>IF(Overflow!O53&lt;2015,'Print Return'!L$45,J45)</f>
        <v>0</v>
      </c>
      <c r="Q45" s="858">
        <f>Overflow!$M53</f>
        <v>0</v>
      </c>
      <c r="R45" s="859">
        <f t="shared" si="6"/>
        <v>0</v>
      </c>
      <c r="S45" s="825">
        <f>Overflow!G107</f>
        <v>0</v>
      </c>
      <c r="T45" s="826">
        <f t="shared" si="7"/>
        <v>0</v>
      </c>
      <c r="U45" s="860">
        <f>LOOKUP(Overflow!$C53,Cities!$A$3:$A$356,Cities!$D$3:$D$356)</f>
        <v>0</v>
      </c>
      <c r="V45" s="861">
        <f t="shared" si="8"/>
        <v>0</v>
      </c>
    </row>
    <row r="46" spans="1:22" x14ac:dyDescent="0.2">
      <c r="A46" s="271">
        <f>LOOKUP(Overflow!$C54,Cities!$A$3:$A$356,Cities!$C$3:$C$356)</f>
        <v>0</v>
      </c>
      <c r="B46" s="959">
        <f>'Print Return'!L$37</f>
        <v>0</v>
      </c>
      <c r="C46" s="858">
        <f>Overflow!$M54</f>
        <v>0</v>
      </c>
      <c r="D46" s="859">
        <f t="shared" si="0"/>
        <v>0</v>
      </c>
      <c r="E46" s="825">
        <f>Overflow!G108</f>
        <v>0</v>
      </c>
      <c r="F46" s="826">
        <f t="shared" si="1"/>
        <v>0</v>
      </c>
      <c r="G46" s="960">
        <f t="shared" si="2"/>
        <v>0</v>
      </c>
      <c r="H46" s="122">
        <f>'Print Return'!L$41</f>
        <v>0</v>
      </c>
      <c r="I46" s="293">
        <f>IF(Overflow!O54&lt;2015,MIN(G46,H46)/2,MIN(G46,H46))</f>
        <v>0</v>
      </c>
      <c r="J46" s="960">
        <f t="shared" si="3"/>
        <v>0</v>
      </c>
      <c r="K46" s="293">
        <f t="shared" si="4"/>
        <v>0</v>
      </c>
      <c r="L46" s="860">
        <f>LOOKUP(Overflow!$C54,Cities!$A$3:$A$356,Cities!$D$3:$D$356)</f>
        <v>0</v>
      </c>
      <c r="M46" s="861">
        <f t="shared" si="5"/>
        <v>0</v>
      </c>
      <c r="N46" s="1"/>
      <c r="O46" s="271">
        <f>LOOKUP(Overflow!$C54,Cities!$A$3:$A$356,Cities!$C$3:$C$356)</f>
        <v>0</v>
      </c>
      <c r="P46" s="857">
        <f>IF(Overflow!O54&lt;2015,'Print Return'!L$45,J46)</f>
        <v>0</v>
      </c>
      <c r="Q46" s="858">
        <f>Overflow!$M54</f>
        <v>0</v>
      </c>
      <c r="R46" s="859">
        <f t="shared" si="6"/>
        <v>0</v>
      </c>
      <c r="S46" s="825">
        <f>Overflow!G108</f>
        <v>0</v>
      </c>
      <c r="T46" s="826">
        <f t="shared" si="7"/>
        <v>0</v>
      </c>
      <c r="U46" s="860">
        <f>LOOKUP(Overflow!$C54,Cities!$A$3:$A$356,Cities!$D$3:$D$356)</f>
        <v>0</v>
      </c>
      <c r="V46" s="861">
        <f t="shared" si="8"/>
        <v>0</v>
      </c>
    </row>
    <row r="47" spans="1:22" x14ac:dyDescent="0.2">
      <c r="A47" s="271">
        <f>LOOKUP(Overflow!$C55,Cities!$A$3:$A$356,Cities!$C$3:$C$356)</f>
        <v>0</v>
      </c>
      <c r="B47" s="959">
        <f>'Print Return'!L$37</f>
        <v>0</v>
      </c>
      <c r="C47" s="858">
        <f>Overflow!$M55</f>
        <v>0</v>
      </c>
      <c r="D47" s="859">
        <f t="shared" si="0"/>
        <v>0</v>
      </c>
      <c r="E47" s="825">
        <f>Overflow!G109</f>
        <v>0</v>
      </c>
      <c r="F47" s="826">
        <f t="shared" si="1"/>
        <v>0</v>
      </c>
      <c r="G47" s="960">
        <f t="shared" si="2"/>
        <v>0</v>
      </c>
      <c r="H47" s="122">
        <f>'Print Return'!L$41</f>
        <v>0</v>
      </c>
      <c r="I47" s="293">
        <f>IF(Overflow!O55&lt;2015,MIN(G47,H47)/2,MIN(G47,H47))</f>
        <v>0</v>
      </c>
      <c r="J47" s="960">
        <f t="shared" si="3"/>
        <v>0</v>
      </c>
      <c r="K47" s="293">
        <f t="shared" si="4"/>
        <v>0</v>
      </c>
      <c r="L47" s="860">
        <f>LOOKUP(Overflow!$C55,Cities!$A$3:$A$356,Cities!$D$3:$D$356)</f>
        <v>0</v>
      </c>
      <c r="M47" s="861">
        <f t="shared" si="5"/>
        <v>0</v>
      </c>
      <c r="N47" s="1"/>
      <c r="O47" s="271">
        <f>LOOKUP(Overflow!$C55,Cities!$A$3:$A$356,Cities!$C$3:$C$356)</f>
        <v>0</v>
      </c>
      <c r="P47" s="857">
        <f>IF(Overflow!O55&lt;2015,'Print Return'!L$45,J47)</f>
        <v>0</v>
      </c>
      <c r="Q47" s="858">
        <f>Overflow!$M55</f>
        <v>0</v>
      </c>
      <c r="R47" s="859">
        <f t="shared" si="6"/>
        <v>0</v>
      </c>
      <c r="S47" s="825">
        <f>Overflow!G109</f>
        <v>0</v>
      </c>
      <c r="T47" s="826">
        <f t="shared" si="7"/>
        <v>0</v>
      </c>
      <c r="U47" s="860">
        <f>LOOKUP(Overflow!$C55,Cities!$A$3:$A$356,Cities!$D$3:$D$356)</f>
        <v>0</v>
      </c>
      <c r="V47" s="861">
        <f t="shared" si="8"/>
        <v>0</v>
      </c>
    </row>
    <row r="48" spans="1:22" x14ac:dyDescent="0.2">
      <c r="A48" s="271">
        <f>LOOKUP(Overflow!$C56,Cities!$A$3:$A$356,Cities!$C$3:$C$356)</f>
        <v>0</v>
      </c>
      <c r="B48" s="959">
        <f>'Print Return'!L$37</f>
        <v>0</v>
      </c>
      <c r="C48" s="858">
        <f>Overflow!$M56</f>
        <v>0</v>
      </c>
      <c r="D48" s="859">
        <f t="shared" si="0"/>
        <v>0</v>
      </c>
      <c r="E48" s="825">
        <f>Overflow!G110</f>
        <v>0</v>
      </c>
      <c r="F48" s="826">
        <f t="shared" si="1"/>
        <v>0</v>
      </c>
      <c r="G48" s="960">
        <f t="shared" si="2"/>
        <v>0</v>
      </c>
      <c r="H48" s="122">
        <f>'Print Return'!L$41</f>
        <v>0</v>
      </c>
      <c r="I48" s="293">
        <f>IF(Overflow!O56&lt;2015,MIN(G48,H48)/2,MIN(G48,H48))</f>
        <v>0</v>
      </c>
      <c r="J48" s="960">
        <f t="shared" si="3"/>
        <v>0</v>
      </c>
      <c r="K48" s="293">
        <f t="shared" si="4"/>
        <v>0</v>
      </c>
      <c r="L48" s="860">
        <f>LOOKUP(Overflow!$C56,Cities!$A$3:$A$356,Cities!$D$3:$D$356)</f>
        <v>0</v>
      </c>
      <c r="M48" s="861">
        <f t="shared" si="5"/>
        <v>0</v>
      </c>
      <c r="N48" s="1"/>
      <c r="O48" s="271">
        <f>LOOKUP(Overflow!$C56,Cities!$A$3:$A$356,Cities!$C$3:$C$356)</f>
        <v>0</v>
      </c>
      <c r="P48" s="857">
        <f>IF(Overflow!O56&lt;2015,'Print Return'!L$45,J48)</f>
        <v>0</v>
      </c>
      <c r="Q48" s="858">
        <f>Overflow!$M56</f>
        <v>0</v>
      </c>
      <c r="R48" s="859">
        <f t="shared" si="6"/>
        <v>0</v>
      </c>
      <c r="S48" s="825">
        <f>Overflow!G110</f>
        <v>0</v>
      </c>
      <c r="T48" s="826">
        <f t="shared" si="7"/>
        <v>0</v>
      </c>
      <c r="U48" s="860">
        <f>LOOKUP(Overflow!$C56,Cities!$A$3:$A$356,Cities!$D$3:$D$356)</f>
        <v>0</v>
      </c>
      <c r="V48" s="861">
        <f t="shared" si="8"/>
        <v>0</v>
      </c>
    </row>
    <row r="49" spans="1:25" x14ac:dyDescent="0.2">
      <c r="A49" s="306"/>
      <c r="B49" s="16"/>
      <c r="C49" s="16"/>
      <c r="D49" s="16"/>
      <c r="E49" s="16"/>
      <c r="F49" s="16"/>
      <c r="G49" s="16"/>
      <c r="H49" s="16"/>
      <c r="I49" s="16"/>
      <c r="J49" s="16"/>
      <c r="K49" s="16"/>
      <c r="L49" s="16"/>
      <c r="M49" s="264"/>
      <c r="O49" s="306"/>
      <c r="P49" s="16"/>
      <c r="Q49" s="16"/>
      <c r="R49" s="16"/>
      <c r="S49" s="16"/>
      <c r="T49" s="16"/>
      <c r="U49" s="16"/>
      <c r="V49" s="264"/>
    </row>
    <row r="50" spans="1:25" ht="13.5" thickBot="1" x14ac:dyDescent="0.25">
      <c r="A50" s="267" t="s">
        <v>1714</v>
      </c>
      <c r="B50" s="862"/>
      <c r="C50" s="920">
        <f>SUM(C4:C48)</f>
        <v>0</v>
      </c>
      <c r="D50" s="862"/>
      <c r="E50" s="863">
        <f>SUM(E4:E48)</f>
        <v>0</v>
      </c>
      <c r="F50" s="862"/>
      <c r="G50" s="862"/>
      <c r="H50" s="862"/>
      <c r="I50" s="862"/>
      <c r="J50" s="862"/>
      <c r="K50" s="865">
        <f>SUM(K4:K48)</f>
        <v>0</v>
      </c>
      <c r="L50" s="862"/>
      <c r="M50" s="864">
        <f>ROUND(SUMIF(M4:M48,"&gt; 10"),0)</f>
        <v>0</v>
      </c>
      <c r="N50" s="1"/>
      <c r="O50" s="267"/>
      <c r="P50" s="862"/>
      <c r="Q50" s="892">
        <f>SUM(Q4:Q48)</f>
        <v>0</v>
      </c>
      <c r="R50" s="862"/>
      <c r="S50" s="863">
        <f>SUM(S4:S48)</f>
        <v>0</v>
      </c>
      <c r="T50" s="865">
        <f>SUM(T4:T48)</f>
        <v>0</v>
      </c>
      <c r="U50" s="862">
        <f>ROUND(SUMIF(V4:V48,"&gt; 10"),0)</f>
        <v>0</v>
      </c>
      <c r="V50" s="864">
        <f>ROUND(SUMIF(V4:V48,"&gt; 10"),0)</f>
        <v>0</v>
      </c>
    </row>
    <row r="51" spans="1:25" ht="18.75" thickBot="1" x14ac:dyDescent="0.3">
      <c r="A51" s="923" t="s">
        <v>1750</v>
      </c>
      <c r="B51" s="253"/>
      <c r="C51" s="253"/>
      <c r="D51" s="253"/>
      <c r="E51" s="253"/>
      <c r="F51" s="253"/>
      <c r="G51" s="253"/>
      <c r="H51" s="253"/>
      <c r="I51" s="253"/>
      <c r="J51" s="253"/>
      <c r="K51" s="253"/>
      <c r="L51" s="253"/>
      <c r="M51" s="253"/>
      <c r="N51" s="16"/>
      <c r="O51" s="923" t="s">
        <v>1751</v>
      </c>
      <c r="P51" s="253"/>
      <c r="Q51" s="253"/>
      <c r="R51" s="253"/>
      <c r="S51" s="253"/>
      <c r="T51" s="253"/>
      <c r="U51" s="253"/>
      <c r="V51" s="253"/>
      <c r="W51" s="16"/>
      <c r="X51" s="16"/>
      <c r="Y51" s="16"/>
    </row>
    <row r="52" spans="1:25" ht="17.25" customHeight="1" x14ac:dyDescent="0.2">
      <c r="A52" s="1572" t="s">
        <v>166</v>
      </c>
      <c r="B52" s="1568" t="s">
        <v>1720</v>
      </c>
      <c r="C52" s="1568" t="s">
        <v>1746</v>
      </c>
      <c r="D52" s="1568" t="s">
        <v>1722</v>
      </c>
      <c r="E52" s="1568" t="s">
        <v>1723</v>
      </c>
      <c r="F52" s="1568" t="s">
        <v>1724</v>
      </c>
      <c r="G52" s="1568" t="s">
        <v>1725</v>
      </c>
      <c r="H52" s="1568" t="s">
        <v>1726</v>
      </c>
      <c r="I52" s="1568" t="s">
        <v>1727</v>
      </c>
      <c r="J52" s="1568" t="s">
        <v>1728</v>
      </c>
      <c r="K52" s="1568" t="s">
        <v>1729</v>
      </c>
      <c r="L52" s="1568" t="s">
        <v>1730</v>
      </c>
      <c r="M52" s="1570" t="s">
        <v>1731</v>
      </c>
      <c r="N52" s="922"/>
      <c r="O52" s="1572" t="s">
        <v>166</v>
      </c>
      <c r="P52" s="1568" t="s">
        <v>1747</v>
      </c>
      <c r="Q52" s="1568" t="s">
        <v>1736</v>
      </c>
      <c r="R52" s="1568" t="s">
        <v>1741</v>
      </c>
      <c r="S52" s="1568" t="s">
        <v>1699</v>
      </c>
      <c r="T52" s="1568" t="s">
        <v>1700</v>
      </c>
      <c r="U52" s="1568" t="s">
        <v>1742</v>
      </c>
      <c r="V52" s="1570" t="s">
        <v>1743</v>
      </c>
    </row>
    <row r="53" spans="1:25" ht="54" customHeight="1" thickBot="1" x14ac:dyDescent="0.25">
      <c r="A53" s="1573"/>
      <c r="B53" s="1569"/>
      <c r="C53" s="1569"/>
      <c r="D53" s="1569"/>
      <c r="E53" s="1569"/>
      <c r="F53" s="1569"/>
      <c r="G53" s="1569"/>
      <c r="H53" s="1569"/>
      <c r="I53" s="1569"/>
      <c r="J53" s="1569"/>
      <c r="K53" s="1569"/>
      <c r="L53" s="1569"/>
      <c r="M53" s="1571"/>
      <c r="N53" s="922"/>
      <c r="O53" s="1573"/>
      <c r="P53" s="1569"/>
      <c r="Q53" s="1569"/>
      <c r="R53" s="1569"/>
      <c r="S53" s="1569"/>
      <c r="T53" s="1569"/>
      <c r="U53" s="1569"/>
      <c r="V53" s="1571"/>
    </row>
    <row r="54" spans="1:25" x14ac:dyDescent="0.2">
      <c r="A54" s="271">
        <f>LOOKUP('Overflow (2)'!$C12,Cities!$A$3:$A$356,Cities!$C$3:$C$356)</f>
        <v>0</v>
      </c>
      <c r="B54" s="959">
        <f>'Print Return'!L$37</f>
        <v>0</v>
      </c>
      <c r="C54" s="858">
        <f>'Overflow (2)'!$M12</f>
        <v>0</v>
      </c>
      <c r="D54" s="859">
        <f t="shared" ref="D54:D98" si="9">B54*IF(ISNUMBER(C54)=TRUE,C54,0)</f>
        <v>0</v>
      </c>
      <c r="E54" s="825">
        <f>'Overflow (2)'!G66</f>
        <v>0</v>
      </c>
      <c r="F54" s="826">
        <f>D54-E54</f>
        <v>0</v>
      </c>
      <c r="G54" s="960">
        <f>IF(C54&gt;0,F54 / C54,0)</f>
        <v>0</v>
      </c>
      <c r="H54" s="122">
        <f>'Print Return'!L$41</f>
        <v>0</v>
      </c>
      <c r="I54" s="293">
        <f>IF('Overflow (2)'!O12&lt;2015,MIN(G54,H54)/2,MIN(G54,H54))</f>
        <v>0</v>
      </c>
      <c r="J54" s="960">
        <f>IF(G54-I54&gt;0,G54-I54,0)</f>
        <v>0</v>
      </c>
      <c r="K54" s="293">
        <f>J54*IF(C54&gt;0,C54,0)</f>
        <v>0</v>
      </c>
      <c r="L54" s="860">
        <f>LOOKUP('Overflow (2)'!$C12,Cities!$A$3:$A$356,Cities!$D$3:$D$356)</f>
        <v>0</v>
      </c>
      <c r="M54" s="861">
        <f>K54*L54</f>
        <v>0</v>
      </c>
      <c r="N54" s="1"/>
      <c r="O54" s="271">
        <f>LOOKUP('Overflow (2)'!$C12,Cities!$A$3:$A$356,Cities!$C$3:$C$356)</f>
        <v>0</v>
      </c>
      <c r="P54" s="857">
        <f>IF('Overflow (2)'!O12&lt;2015,'Print Return'!L$45,J54)</f>
        <v>0</v>
      </c>
      <c r="Q54" s="858">
        <f>'Overflow (2)'!$M12</f>
        <v>0</v>
      </c>
      <c r="R54" s="859">
        <f>P54*IF(Q54&gt;0,Q54,0)</f>
        <v>0</v>
      </c>
      <c r="S54" s="825">
        <f>'Overflow (2)'!G66</f>
        <v>0</v>
      </c>
      <c r="T54" s="826">
        <f>IF(P54&gt;0,R54-S54,0)</f>
        <v>0</v>
      </c>
      <c r="U54" s="860">
        <f>LOOKUP('Overflow (2)'!$C12,Cities!$A$3:$A$356,Cities!$D$3:$D$356)</f>
        <v>0</v>
      </c>
      <c r="V54" s="861">
        <f>T54*U54</f>
        <v>0</v>
      </c>
    </row>
    <row r="55" spans="1:25" x14ac:dyDescent="0.2">
      <c r="A55" s="271">
        <f>LOOKUP('Overflow (2)'!$C13,Cities!$A$3:$A$356,Cities!$C$3:$C$356)</f>
        <v>0</v>
      </c>
      <c r="B55" s="959">
        <f>'Print Return'!L$37</f>
        <v>0</v>
      </c>
      <c r="C55" s="858">
        <f>'Overflow (2)'!$M13</f>
        <v>0</v>
      </c>
      <c r="D55" s="859">
        <f t="shared" si="9"/>
        <v>0</v>
      </c>
      <c r="E55" s="825">
        <f>'Overflow (2)'!G67</f>
        <v>0</v>
      </c>
      <c r="F55" s="826">
        <f t="shared" ref="F55:F98" si="10">D55-E55</f>
        <v>0</v>
      </c>
      <c r="G55" s="960">
        <f t="shared" ref="G55:G98" si="11">IF(C55&gt;0,F55 / C55,0)</f>
        <v>0</v>
      </c>
      <c r="H55" s="122">
        <f>'Print Return'!L$41</f>
        <v>0</v>
      </c>
      <c r="I55" s="293">
        <f>IF('Overflow (2)'!O13&lt;2015,MIN(G55,H55)/2,MIN(G55,H55))</f>
        <v>0</v>
      </c>
      <c r="J55" s="960">
        <f t="shared" ref="J55:J98" si="12">IF(G55-I55&gt;0,G55-I55,0)</f>
        <v>0</v>
      </c>
      <c r="K55" s="293">
        <f t="shared" ref="K55:K98" si="13">J55*IF(C55&gt;0,C55,0)</f>
        <v>0</v>
      </c>
      <c r="L55" s="860">
        <f>LOOKUP('Overflow (2)'!$C13,Cities!$A$3:$A$356,Cities!$D$3:$D$356)</f>
        <v>0</v>
      </c>
      <c r="M55" s="861">
        <f t="shared" ref="M55:M98" si="14">K55*L55</f>
        <v>0</v>
      </c>
      <c r="O55" s="271">
        <f>LOOKUP('Overflow (2)'!$C13,Cities!$A$3:$A$356,Cities!$C$3:$C$356)</f>
        <v>0</v>
      </c>
      <c r="P55" s="857">
        <f>IF('Overflow (2)'!O13&lt;2015,'Print Return'!L$45,J55)</f>
        <v>0</v>
      </c>
      <c r="Q55" s="858">
        <f>'Overflow (2)'!$M13</f>
        <v>0</v>
      </c>
      <c r="R55" s="859">
        <f t="shared" ref="R55:R98" si="15">P55*IF(Q55&gt;0,Q55,0)</f>
        <v>0</v>
      </c>
      <c r="S55" s="825">
        <f>'Overflow (2)'!G67</f>
        <v>0</v>
      </c>
      <c r="T55" s="826">
        <f t="shared" ref="T55:T98" si="16">IF(P55&gt;0,R55-S55,0)</f>
        <v>0</v>
      </c>
      <c r="U55" s="860">
        <f>LOOKUP('Overflow (2)'!$C13,Cities!$A$3:$A$356,Cities!$D$3:$D$356)</f>
        <v>0</v>
      </c>
      <c r="V55" s="861">
        <f t="shared" ref="V55:V98" si="17">T55*U55</f>
        <v>0</v>
      </c>
    </row>
    <row r="56" spans="1:25" x14ac:dyDescent="0.2">
      <c r="A56" s="271">
        <f>LOOKUP('Overflow (2)'!$C14,Cities!$A$3:$A$356,Cities!$C$3:$C$356)</f>
        <v>0</v>
      </c>
      <c r="B56" s="959">
        <f>'Print Return'!L$37</f>
        <v>0</v>
      </c>
      <c r="C56" s="858">
        <f>'Overflow (2)'!$M14</f>
        <v>0</v>
      </c>
      <c r="D56" s="859">
        <f t="shared" si="9"/>
        <v>0</v>
      </c>
      <c r="E56" s="825">
        <f>'Overflow (2)'!G68</f>
        <v>0</v>
      </c>
      <c r="F56" s="826">
        <f t="shared" si="10"/>
        <v>0</v>
      </c>
      <c r="G56" s="960">
        <f t="shared" si="11"/>
        <v>0</v>
      </c>
      <c r="H56" s="122">
        <f>'Print Return'!L$41</f>
        <v>0</v>
      </c>
      <c r="I56" s="293">
        <f>IF('Overflow (2)'!O14&lt;2015,MIN(G56,H56)/2,MIN(G56,H56))</f>
        <v>0</v>
      </c>
      <c r="J56" s="960">
        <f t="shared" si="12"/>
        <v>0</v>
      </c>
      <c r="K56" s="293">
        <f t="shared" si="13"/>
        <v>0</v>
      </c>
      <c r="L56" s="860">
        <f>LOOKUP('Overflow (2)'!$C14,Cities!$A$3:$A$356,Cities!$D$3:$D$356)</f>
        <v>0</v>
      </c>
      <c r="M56" s="861">
        <f t="shared" si="14"/>
        <v>0</v>
      </c>
      <c r="O56" s="271">
        <f>LOOKUP('Overflow (2)'!$C14,Cities!$A$3:$A$356,Cities!$C$3:$C$356)</f>
        <v>0</v>
      </c>
      <c r="P56" s="857">
        <f>IF('Overflow (2)'!O14&lt;2015,'Print Return'!L$45,J56)</f>
        <v>0</v>
      </c>
      <c r="Q56" s="858">
        <f>'Overflow (2)'!$M14</f>
        <v>0</v>
      </c>
      <c r="R56" s="859">
        <f t="shared" si="15"/>
        <v>0</v>
      </c>
      <c r="S56" s="825">
        <f>'Overflow (2)'!G68</f>
        <v>0</v>
      </c>
      <c r="T56" s="826">
        <f t="shared" si="16"/>
        <v>0</v>
      </c>
      <c r="U56" s="860">
        <f>LOOKUP('Overflow (2)'!$C14,Cities!$A$3:$A$356,Cities!$D$3:$D$356)</f>
        <v>0</v>
      </c>
      <c r="V56" s="861">
        <f t="shared" si="17"/>
        <v>0</v>
      </c>
    </row>
    <row r="57" spans="1:25" x14ac:dyDescent="0.2">
      <c r="A57" s="271">
        <f>LOOKUP('Overflow (2)'!$C15,Cities!$A$3:$A$356,Cities!$C$3:$C$356)</f>
        <v>0</v>
      </c>
      <c r="B57" s="959">
        <f>'Print Return'!L$37</f>
        <v>0</v>
      </c>
      <c r="C57" s="858">
        <f>'Overflow (2)'!$M15</f>
        <v>0</v>
      </c>
      <c r="D57" s="859">
        <f t="shared" si="9"/>
        <v>0</v>
      </c>
      <c r="E57" s="825">
        <f>'Overflow (2)'!G69</f>
        <v>0</v>
      </c>
      <c r="F57" s="826">
        <f t="shared" si="10"/>
        <v>0</v>
      </c>
      <c r="G57" s="960">
        <f t="shared" si="11"/>
        <v>0</v>
      </c>
      <c r="H57" s="122">
        <f>'Print Return'!L$41</f>
        <v>0</v>
      </c>
      <c r="I57" s="293">
        <f>IF('Overflow (2)'!O15&lt;2015,MIN(G57,H57)/2,MIN(G57,H57))</f>
        <v>0</v>
      </c>
      <c r="J57" s="960">
        <f t="shared" si="12"/>
        <v>0</v>
      </c>
      <c r="K57" s="293">
        <f t="shared" si="13"/>
        <v>0</v>
      </c>
      <c r="L57" s="860">
        <f>LOOKUP('Overflow (2)'!$C15,Cities!$A$3:$A$356,Cities!$D$3:$D$356)</f>
        <v>0</v>
      </c>
      <c r="M57" s="861">
        <f t="shared" si="14"/>
        <v>0</v>
      </c>
      <c r="O57" s="271">
        <f>LOOKUP('Overflow (2)'!$C15,Cities!$A$3:$A$356,Cities!$C$3:$C$356)</f>
        <v>0</v>
      </c>
      <c r="P57" s="857">
        <f>IF('Overflow (2)'!O15&lt;2015,'Print Return'!L$45,J57)</f>
        <v>0</v>
      </c>
      <c r="Q57" s="858">
        <f>'Overflow (2)'!$M15</f>
        <v>0</v>
      </c>
      <c r="R57" s="859">
        <f t="shared" si="15"/>
        <v>0</v>
      </c>
      <c r="S57" s="825">
        <f>'Overflow (2)'!G69</f>
        <v>0</v>
      </c>
      <c r="T57" s="826">
        <f t="shared" si="16"/>
        <v>0</v>
      </c>
      <c r="U57" s="860">
        <f>LOOKUP('Overflow (2)'!$C15,Cities!$A$3:$A$356,Cities!$D$3:$D$356)</f>
        <v>0</v>
      </c>
      <c r="V57" s="861">
        <f t="shared" si="17"/>
        <v>0</v>
      </c>
    </row>
    <row r="58" spans="1:25" x14ac:dyDescent="0.2">
      <c r="A58" s="271">
        <f>LOOKUP('Overflow (2)'!$C16,Cities!$A$3:$A$356,Cities!$C$3:$C$356)</f>
        <v>0</v>
      </c>
      <c r="B58" s="959">
        <f>'Print Return'!L$37</f>
        <v>0</v>
      </c>
      <c r="C58" s="858">
        <f>'Overflow (2)'!$M16</f>
        <v>0</v>
      </c>
      <c r="D58" s="859">
        <f t="shared" si="9"/>
        <v>0</v>
      </c>
      <c r="E58" s="825">
        <f>'Overflow (2)'!G70</f>
        <v>0</v>
      </c>
      <c r="F58" s="826">
        <f t="shared" si="10"/>
        <v>0</v>
      </c>
      <c r="G58" s="960">
        <f t="shared" si="11"/>
        <v>0</v>
      </c>
      <c r="H58" s="122">
        <f>'Print Return'!L$41</f>
        <v>0</v>
      </c>
      <c r="I58" s="293">
        <f>IF('Overflow (2)'!O16&lt;2015,MIN(G58,H58)/2,MIN(G58,H58))</f>
        <v>0</v>
      </c>
      <c r="J58" s="960">
        <f t="shared" si="12"/>
        <v>0</v>
      </c>
      <c r="K58" s="293">
        <f t="shared" si="13"/>
        <v>0</v>
      </c>
      <c r="L58" s="860">
        <f>LOOKUP('Overflow (2)'!$C16,Cities!$A$3:$A$356,Cities!$D$3:$D$356)</f>
        <v>0</v>
      </c>
      <c r="M58" s="861">
        <f t="shared" si="14"/>
        <v>0</v>
      </c>
      <c r="O58" s="271">
        <f>LOOKUP('Overflow (2)'!$C16,Cities!$A$3:$A$356,Cities!$C$3:$C$356)</f>
        <v>0</v>
      </c>
      <c r="P58" s="857">
        <f>IF('Overflow (2)'!O16&lt;2015,'Print Return'!L$45,J58)</f>
        <v>0</v>
      </c>
      <c r="Q58" s="858">
        <f>'Overflow (2)'!$M16</f>
        <v>0</v>
      </c>
      <c r="R58" s="859">
        <f t="shared" si="15"/>
        <v>0</v>
      </c>
      <c r="S58" s="825">
        <f>'Overflow (2)'!G70</f>
        <v>0</v>
      </c>
      <c r="T58" s="826">
        <f t="shared" si="16"/>
        <v>0</v>
      </c>
      <c r="U58" s="860">
        <f>LOOKUP('Overflow (2)'!$C16,Cities!$A$3:$A$356,Cities!$D$3:$D$356)</f>
        <v>0</v>
      </c>
      <c r="V58" s="861">
        <f t="shared" si="17"/>
        <v>0</v>
      </c>
    </row>
    <row r="59" spans="1:25" x14ac:dyDescent="0.2">
      <c r="A59" s="271">
        <f>LOOKUP('Overflow (2)'!$C17,Cities!$A$3:$A$356,Cities!$C$3:$C$356)</f>
        <v>0</v>
      </c>
      <c r="B59" s="959">
        <f>'Print Return'!L$37</f>
        <v>0</v>
      </c>
      <c r="C59" s="858">
        <f>'Overflow (2)'!$M17</f>
        <v>0</v>
      </c>
      <c r="D59" s="859">
        <f t="shared" si="9"/>
        <v>0</v>
      </c>
      <c r="E59" s="825">
        <f>'Overflow (2)'!G71</f>
        <v>0</v>
      </c>
      <c r="F59" s="826">
        <f t="shared" si="10"/>
        <v>0</v>
      </c>
      <c r="G59" s="960">
        <f t="shared" si="11"/>
        <v>0</v>
      </c>
      <c r="H59" s="122">
        <f>'Print Return'!L$41</f>
        <v>0</v>
      </c>
      <c r="I59" s="293">
        <f>IF('Overflow (2)'!O17&lt;2015,MIN(G59,H59)/2,MIN(G59,H59))</f>
        <v>0</v>
      </c>
      <c r="J59" s="960">
        <f t="shared" si="12"/>
        <v>0</v>
      </c>
      <c r="K59" s="293">
        <f t="shared" si="13"/>
        <v>0</v>
      </c>
      <c r="L59" s="860">
        <f>LOOKUP('Overflow (2)'!$C17,Cities!$A$3:$A$356,Cities!$D$3:$D$356)</f>
        <v>0</v>
      </c>
      <c r="M59" s="861">
        <f t="shared" si="14"/>
        <v>0</v>
      </c>
      <c r="O59" s="271">
        <f>LOOKUP('Overflow (2)'!$C17,Cities!$A$3:$A$356,Cities!$C$3:$C$356)</f>
        <v>0</v>
      </c>
      <c r="P59" s="857">
        <f>IF('Overflow (2)'!O17&lt;2015,'Print Return'!L$45,J59)</f>
        <v>0</v>
      </c>
      <c r="Q59" s="858">
        <f>'Overflow (2)'!$M17</f>
        <v>0</v>
      </c>
      <c r="R59" s="859">
        <f t="shared" si="15"/>
        <v>0</v>
      </c>
      <c r="S59" s="825">
        <f>'Overflow (2)'!G71</f>
        <v>0</v>
      </c>
      <c r="T59" s="826">
        <f t="shared" si="16"/>
        <v>0</v>
      </c>
      <c r="U59" s="860">
        <f>LOOKUP('Overflow (2)'!$C17,Cities!$A$3:$A$356,Cities!$D$3:$D$356)</f>
        <v>0</v>
      </c>
      <c r="V59" s="861">
        <f t="shared" si="17"/>
        <v>0</v>
      </c>
    </row>
    <row r="60" spans="1:25" x14ac:dyDescent="0.2">
      <c r="A60" s="271">
        <f>LOOKUP('Overflow (2)'!$C18,Cities!$A$3:$A$356,Cities!$C$3:$C$356)</f>
        <v>0</v>
      </c>
      <c r="B60" s="959">
        <f>'Print Return'!L$37</f>
        <v>0</v>
      </c>
      <c r="C60" s="858">
        <f>'Overflow (2)'!$M18</f>
        <v>0</v>
      </c>
      <c r="D60" s="859">
        <f t="shared" si="9"/>
        <v>0</v>
      </c>
      <c r="E60" s="825">
        <f>'Overflow (2)'!G72</f>
        <v>0</v>
      </c>
      <c r="F60" s="826">
        <f t="shared" si="10"/>
        <v>0</v>
      </c>
      <c r="G60" s="960">
        <f t="shared" si="11"/>
        <v>0</v>
      </c>
      <c r="H60" s="122">
        <f>'Print Return'!L$41</f>
        <v>0</v>
      </c>
      <c r="I60" s="293">
        <f>IF('Overflow (2)'!O18&lt;2015,MIN(G60,H60)/2,MIN(G60,H60))</f>
        <v>0</v>
      </c>
      <c r="J60" s="960">
        <f t="shared" si="12"/>
        <v>0</v>
      </c>
      <c r="K60" s="293">
        <f t="shared" si="13"/>
        <v>0</v>
      </c>
      <c r="L60" s="860">
        <f>LOOKUP('Overflow (2)'!$C18,Cities!$A$3:$A$356,Cities!$D$3:$D$356)</f>
        <v>0</v>
      </c>
      <c r="M60" s="861">
        <f t="shared" si="14"/>
        <v>0</v>
      </c>
      <c r="O60" s="271">
        <f>LOOKUP('Overflow (2)'!$C18,Cities!$A$3:$A$356,Cities!$C$3:$C$356)</f>
        <v>0</v>
      </c>
      <c r="P60" s="857">
        <f>IF('Overflow (2)'!O18&lt;2015,'Print Return'!L$45,J60)</f>
        <v>0</v>
      </c>
      <c r="Q60" s="858">
        <f>'Overflow (2)'!$M18</f>
        <v>0</v>
      </c>
      <c r="R60" s="859">
        <f t="shared" si="15"/>
        <v>0</v>
      </c>
      <c r="S60" s="825">
        <f>'Overflow (2)'!G72</f>
        <v>0</v>
      </c>
      <c r="T60" s="826">
        <f t="shared" si="16"/>
        <v>0</v>
      </c>
      <c r="U60" s="860">
        <f>LOOKUP('Overflow (2)'!$C18,Cities!$A$3:$A$356,Cities!$D$3:$D$356)</f>
        <v>0</v>
      </c>
      <c r="V60" s="861">
        <f t="shared" si="17"/>
        <v>0</v>
      </c>
    </row>
    <row r="61" spans="1:25" x14ac:dyDescent="0.2">
      <c r="A61" s="271">
        <f>LOOKUP('Overflow (2)'!$C19,Cities!$A$3:$A$356,Cities!$C$3:$C$356)</f>
        <v>0</v>
      </c>
      <c r="B61" s="959">
        <f>'Print Return'!L$37</f>
        <v>0</v>
      </c>
      <c r="C61" s="858">
        <f>'Overflow (2)'!$M19</f>
        <v>0</v>
      </c>
      <c r="D61" s="859">
        <f t="shared" si="9"/>
        <v>0</v>
      </c>
      <c r="E61" s="825">
        <f>'Overflow (2)'!G73</f>
        <v>0</v>
      </c>
      <c r="F61" s="826">
        <f t="shared" si="10"/>
        <v>0</v>
      </c>
      <c r="G61" s="960">
        <f t="shared" si="11"/>
        <v>0</v>
      </c>
      <c r="H61" s="122">
        <f>'Print Return'!L$41</f>
        <v>0</v>
      </c>
      <c r="I61" s="293">
        <f>IF('Overflow (2)'!O19&lt;2015,MIN(G61,H61)/2,MIN(G61,H61))</f>
        <v>0</v>
      </c>
      <c r="J61" s="960">
        <f t="shared" si="12"/>
        <v>0</v>
      </c>
      <c r="K61" s="293">
        <f t="shared" si="13"/>
        <v>0</v>
      </c>
      <c r="L61" s="860">
        <f>LOOKUP('Overflow (2)'!$C19,Cities!$A$3:$A$356,Cities!$D$3:$D$356)</f>
        <v>0</v>
      </c>
      <c r="M61" s="861">
        <f t="shared" si="14"/>
        <v>0</v>
      </c>
      <c r="O61" s="271">
        <f>LOOKUP('Overflow (2)'!$C19,Cities!$A$3:$A$356,Cities!$C$3:$C$356)</f>
        <v>0</v>
      </c>
      <c r="P61" s="857">
        <f>IF('Overflow (2)'!O19&lt;2015,'Print Return'!L$45,J61)</f>
        <v>0</v>
      </c>
      <c r="Q61" s="858">
        <f>'Overflow (2)'!$M19</f>
        <v>0</v>
      </c>
      <c r="R61" s="859">
        <f t="shared" si="15"/>
        <v>0</v>
      </c>
      <c r="S61" s="825">
        <f>'Overflow (2)'!G73</f>
        <v>0</v>
      </c>
      <c r="T61" s="826">
        <f t="shared" si="16"/>
        <v>0</v>
      </c>
      <c r="U61" s="860">
        <f>LOOKUP('Overflow (2)'!$C19,Cities!$A$3:$A$356,Cities!$D$3:$D$356)</f>
        <v>0</v>
      </c>
      <c r="V61" s="861">
        <f t="shared" si="17"/>
        <v>0</v>
      </c>
    </row>
    <row r="62" spans="1:25" x14ac:dyDescent="0.2">
      <c r="A62" s="271">
        <f>LOOKUP('Overflow (2)'!$C20,Cities!$A$3:$A$356,Cities!$C$3:$C$356)</f>
        <v>0</v>
      </c>
      <c r="B62" s="959">
        <f>'Print Return'!L$37</f>
        <v>0</v>
      </c>
      <c r="C62" s="858">
        <f>'Overflow (2)'!$M20</f>
        <v>0</v>
      </c>
      <c r="D62" s="859">
        <f t="shared" si="9"/>
        <v>0</v>
      </c>
      <c r="E62" s="825">
        <f>'Overflow (2)'!G74</f>
        <v>0</v>
      </c>
      <c r="F62" s="826">
        <f t="shared" si="10"/>
        <v>0</v>
      </c>
      <c r="G62" s="960">
        <f t="shared" si="11"/>
        <v>0</v>
      </c>
      <c r="H62" s="122">
        <f>'Print Return'!L$41</f>
        <v>0</v>
      </c>
      <c r="I62" s="293">
        <f>IF('Overflow (2)'!O20&lt;2015,MIN(G62,H62)/2,MIN(G62,H62))</f>
        <v>0</v>
      </c>
      <c r="J62" s="960">
        <f t="shared" si="12"/>
        <v>0</v>
      </c>
      <c r="K62" s="293">
        <f t="shared" si="13"/>
        <v>0</v>
      </c>
      <c r="L62" s="860">
        <f>LOOKUP('Overflow (2)'!$C20,Cities!$A$3:$A$356,Cities!$D$3:$D$356)</f>
        <v>0</v>
      </c>
      <c r="M62" s="861">
        <f t="shared" si="14"/>
        <v>0</v>
      </c>
      <c r="O62" s="271">
        <f>LOOKUP('Overflow (2)'!$C20,Cities!$A$3:$A$356,Cities!$C$3:$C$356)</f>
        <v>0</v>
      </c>
      <c r="P62" s="857">
        <f>IF('Overflow (2)'!O20&lt;2015,'Print Return'!L$45,J62)</f>
        <v>0</v>
      </c>
      <c r="Q62" s="858">
        <f>'Overflow (2)'!$M20</f>
        <v>0</v>
      </c>
      <c r="R62" s="859">
        <f t="shared" si="15"/>
        <v>0</v>
      </c>
      <c r="S62" s="825">
        <f>'Overflow (2)'!G74</f>
        <v>0</v>
      </c>
      <c r="T62" s="826">
        <f t="shared" si="16"/>
        <v>0</v>
      </c>
      <c r="U62" s="860">
        <f>LOOKUP('Overflow (2)'!$C20,Cities!$A$3:$A$356,Cities!$D$3:$D$356)</f>
        <v>0</v>
      </c>
      <c r="V62" s="861">
        <f t="shared" si="17"/>
        <v>0</v>
      </c>
    </row>
    <row r="63" spans="1:25" x14ac:dyDescent="0.2">
      <c r="A63" s="271">
        <f>LOOKUP('Overflow (2)'!$C21,Cities!$A$3:$A$356,Cities!$C$3:$C$356)</f>
        <v>0</v>
      </c>
      <c r="B63" s="959">
        <f>'Print Return'!L$37</f>
        <v>0</v>
      </c>
      <c r="C63" s="858">
        <f>'Overflow (2)'!$M21</f>
        <v>0</v>
      </c>
      <c r="D63" s="859">
        <f t="shared" si="9"/>
        <v>0</v>
      </c>
      <c r="E63" s="825">
        <f>'Overflow (2)'!G75</f>
        <v>0</v>
      </c>
      <c r="F63" s="826">
        <f t="shared" si="10"/>
        <v>0</v>
      </c>
      <c r="G63" s="960">
        <f t="shared" si="11"/>
        <v>0</v>
      </c>
      <c r="H63" s="122">
        <f>'Print Return'!L$41</f>
        <v>0</v>
      </c>
      <c r="I63" s="293">
        <f>IF('Overflow (2)'!O21&lt;2015,MIN(G63,H63)/2,MIN(G63,H63))</f>
        <v>0</v>
      </c>
      <c r="J63" s="960">
        <f t="shared" si="12"/>
        <v>0</v>
      </c>
      <c r="K63" s="293">
        <f t="shared" si="13"/>
        <v>0</v>
      </c>
      <c r="L63" s="860">
        <f>LOOKUP('Overflow (2)'!$C21,Cities!$A$3:$A$356,Cities!$D$3:$D$356)</f>
        <v>0</v>
      </c>
      <c r="M63" s="861">
        <f t="shared" si="14"/>
        <v>0</v>
      </c>
      <c r="O63" s="271">
        <f>LOOKUP('Overflow (2)'!$C21,Cities!$A$3:$A$356,Cities!$C$3:$C$356)</f>
        <v>0</v>
      </c>
      <c r="P63" s="857">
        <f>IF('Overflow (2)'!O21&lt;2015,'Print Return'!L$45,J63)</f>
        <v>0</v>
      </c>
      <c r="Q63" s="858">
        <f>'Overflow (2)'!$M21</f>
        <v>0</v>
      </c>
      <c r="R63" s="859">
        <f t="shared" si="15"/>
        <v>0</v>
      </c>
      <c r="S63" s="825">
        <f>'Overflow (2)'!G75</f>
        <v>0</v>
      </c>
      <c r="T63" s="826">
        <f t="shared" si="16"/>
        <v>0</v>
      </c>
      <c r="U63" s="860">
        <f>LOOKUP('Overflow (2)'!$C21,Cities!$A$3:$A$356,Cities!$D$3:$D$356)</f>
        <v>0</v>
      </c>
      <c r="V63" s="861">
        <f t="shared" si="17"/>
        <v>0</v>
      </c>
    </row>
    <row r="64" spans="1:25" x14ac:dyDescent="0.2">
      <c r="A64" s="271">
        <f>LOOKUP('Overflow (2)'!$C22,Cities!$A$3:$A$356,Cities!$C$3:$C$356)</f>
        <v>0</v>
      </c>
      <c r="B64" s="959">
        <f>'Print Return'!L$37</f>
        <v>0</v>
      </c>
      <c r="C64" s="858">
        <f>'Overflow (2)'!$M22</f>
        <v>0</v>
      </c>
      <c r="D64" s="859">
        <f t="shared" si="9"/>
        <v>0</v>
      </c>
      <c r="E64" s="825">
        <f>'Overflow (2)'!G76</f>
        <v>0</v>
      </c>
      <c r="F64" s="826">
        <f t="shared" si="10"/>
        <v>0</v>
      </c>
      <c r="G64" s="960">
        <f t="shared" si="11"/>
        <v>0</v>
      </c>
      <c r="H64" s="122">
        <f>'Print Return'!L$41</f>
        <v>0</v>
      </c>
      <c r="I64" s="293">
        <f>IF('Overflow (2)'!O22&lt;2015,MIN(G64,H64)/2,MIN(G64,H64))</f>
        <v>0</v>
      </c>
      <c r="J64" s="960">
        <f t="shared" si="12"/>
        <v>0</v>
      </c>
      <c r="K64" s="293">
        <f t="shared" si="13"/>
        <v>0</v>
      </c>
      <c r="L64" s="860">
        <f>LOOKUP('Overflow (2)'!$C22,Cities!$A$3:$A$356,Cities!$D$3:$D$356)</f>
        <v>0</v>
      </c>
      <c r="M64" s="861">
        <f t="shared" si="14"/>
        <v>0</v>
      </c>
      <c r="O64" s="271">
        <f>LOOKUP('Overflow (2)'!$C22,Cities!$A$3:$A$356,Cities!$C$3:$C$356)</f>
        <v>0</v>
      </c>
      <c r="P64" s="857">
        <f>IF('Overflow (2)'!O22&lt;2015,'Print Return'!L$45,J64)</f>
        <v>0</v>
      </c>
      <c r="Q64" s="858">
        <f>'Overflow (2)'!$M22</f>
        <v>0</v>
      </c>
      <c r="R64" s="859">
        <f t="shared" si="15"/>
        <v>0</v>
      </c>
      <c r="S64" s="825">
        <f>'Overflow (2)'!G76</f>
        <v>0</v>
      </c>
      <c r="T64" s="826">
        <f t="shared" si="16"/>
        <v>0</v>
      </c>
      <c r="U64" s="860">
        <f>LOOKUP('Overflow (2)'!$C22,Cities!$A$3:$A$356,Cities!$D$3:$D$356)</f>
        <v>0</v>
      </c>
      <c r="V64" s="861">
        <f t="shared" si="17"/>
        <v>0</v>
      </c>
    </row>
    <row r="65" spans="1:22" x14ac:dyDescent="0.2">
      <c r="A65" s="271">
        <f>LOOKUP('Overflow (2)'!$C23,Cities!$A$3:$A$356,Cities!$C$3:$C$356)</f>
        <v>0</v>
      </c>
      <c r="B65" s="959">
        <f>'Print Return'!L$37</f>
        <v>0</v>
      </c>
      <c r="C65" s="858">
        <f>'Overflow (2)'!$M23</f>
        <v>0</v>
      </c>
      <c r="D65" s="859">
        <f t="shared" si="9"/>
        <v>0</v>
      </c>
      <c r="E65" s="825">
        <f>'Overflow (2)'!G77</f>
        <v>0</v>
      </c>
      <c r="F65" s="826">
        <f t="shared" si="10"/>
        <v>0</v>
      </c>
      <c r="G65" s="960">
        <f t="shared" si="11"/>
        <v>0</v>
      </c>
      <c r="H65" s="122">
        <f>'Print Return'!L$41</f>
        <v>0</v>
      </c>
      <c r="I65" s="293">
        <f>IF('Overflow (2)'!O23&lt;2015,MIN(G65,H65)/2,MIN(G65,H65))</f>
        <v>0</v>
      </c>
      <c r="J65" s="960">
        <f t="shared" si="12"/>
        <v>0</v>
      </c>
      <c r="K65" s="293">
        <f t="shared" si="13"/>
        <v>0</v>
      </c>
      <c r="L65" s="860">
        <f>LOOKUP('Overflow (2)'!$C23,Cities!$A$3:$A$356,Cities!$D$3:$D$356)</f>
        <v>0</v>
      </c>
      <c r="M65" s="861">
        <f t="shared" si="14"/>
        <v>0</v>
      </c>
      <c r="O65" s="271">
        <f>LOOKUP('Overflow (2)'!$C23,Cities!$A$3:$A$356,Cities!$C$3:$C$356)</f>
        <v>0</v>
      </c>
      <c r="P65" s="857">
        <f>IF('Overflow (2)'!O23&lt;2015,'Print Return'!L$45,J65)</f>
        <v>0</v>
      </c>
      <c r="Q65" s="858">
        <f>'Overflow (2)'!$M23</f>
        <v>0</v>
      </c>
      <c r="R65" s="859">
        <f t="shared" si="15"/>
        <v>0</v>
      </c>
      <c r="S65" s="825">
        <f>'Overflow (2)'!G77</f>
        <v>0</v>
      </c>
      <c r="T65" s="826">
        <f t="shared" si="16"/>
        <v>0</v>
      </c>
      <c r="U65" s="860">
        <f>LOOKUP('Overflow (2)'!$C23,Cities!$A$3:$A$356,Cities!$D$3:$D$356)</f>
        <v>0</v>
      </c>
      <c r="V65" s="861">
        <f t="shared" si="17"/>
        <v>0</v>
      </c>
    </row>
    <row r="66" spans="1:22" x14ac:dyDescent="0.2">
      <c r="A66" s="271">
        <f>LOOKUP('Overflow (2)'!$C24,Cities!$A$3:$A$356,Cities!$C$3:$C$356)</f>
        <v>0</v>
      </c>
      <c r="B66" s="959">
        <f>'Print Return'!L$37</f>
        <v>0</v>
      </c>
      <c r="C66" s="858">
        <f>'Overflow (2)'!$M24</f>
        <v>0</v>
      </c>
      <c r="D66" s="859">
        <f t="shared" si="9"/>
        <v>0</v>
      </c>
      <c r="E66" s="825">
        <f>'Overflow (2)'!G78</f>
        <v>0</v>
      </c>
      <c r="F66" s="826">
        <f t="shared" si="10"/>
        <v>0</v>
      </c>
      <c r="G66" s="960">
        <f t="shared" si="11"/>
        <v>0</v>
      </c>
      <c r="H66" s="122">
        <f>'Print Return'!L$41</f>
        <v>0</v>
      </c>
      <c r="I66" s="293">
        <f>IF('Overflow (2)'!O24&lt;2015,MIN(G66,H66)/2,MIN(G66,H66))</f>
        <v>0</v>
      </c>
      <c r="J66" s="960">
        <f t="shared" si="12"/>
        <v>0</v>
      </c>
      <c r="K66" s="293">
        <f t="shared" si="13"/>
        <v>0</v>
      </c>
      <c r="L66" s="860">
        <f>LOOKUP('Overflow (2)'!$C24,Cities!$A$3:$A$356,Cities!$D$3:$D$356)</f>
        <v>0</v>
      </c>
      <c r="M66" s="861">
        <f t="shared" si="14"/>
        <v>0</v>
      </c>
      <c r="O66" s="271">
        <f>LOOKUP('Overflow (2)'!$C24,Cities!$A$3:$A$356,Cities!$C$3:$C$356)</f>
        <v>0</v>
      </c>
      <c r="P66" s="857">
        <f>IF('Overflow (2)'!O24&lt;2015,'Print Return'!L$45,J66)</f>
        <v>0</v>
      </c>
      <c r="Q66" s="858">
        <f>'Overflow (2)'!$M24</f>
        <v>0</v>
      </c>
      <c r="R66" s="859">
        <f t="shared" si="15"/>
        <v>0</v>
      </c>
      <c r="S66" s="825">
        <f>'Overflow (2)'!G78</f>
        <v>0</v>
      </c>
      <c r="T66" s="826">
        <f t="shared" si="16"/>
        <v>0</v>
      </c>
      <c r="U66" s="860">
        <f>LOOKUP('Overflow (2)'!$C24,Cities!$A$3:$A$356,Cities!$D$3:$D$356)</f>
        <v>0</v>
      </c>
      <c r="V66" s="861">
        <f t="shared" si="17"/>
        <v>0</v>
      </c>
    </row>
    <row r="67" spans="1:22" x14ac:dyDescent="0.2">
      <c r="A67" s="271">
        <f>LOOKUP('Overflow (2)'!$C25,Cities!$A$3:$A$356,Cities!$C$3:$C$356)</f>
        <v>0</v>
      </c>
      <c r="B67" s="959">
        <f>'Print Return'!L$37</f>
        <v>0</v>
      </c>
      <c r="C67" s="858">
        <f>'Overflow (2)'!$M25</f>
        <v>0</v>
      </c>
      <c r="D67" s="859">
        <f t="shared" si="9"/>
        <v>0</v>
      </c>
      <c r="E67" s="825">
        <f>'Overflow (2)'!G79</f>
        <v>0</v>
      </c>
      <c r="F67" s="826">
        <f t="shared" si="10"/>
        <v>0</v>
      </c>
      <c r="G67" s="960">
        <f t="shared" si="11"/>
        <v>0</v>
      </c>
      <c r="H67" s="122">
        <f>'Print Return'!L$41</f>
        <v>0</v>
      </c>
      <c r="I67" s="293">
        <f>IF('Overflow (2)'!O25&lt;2015,MIN(G67,H67)/2,MIN(G67,H67))</f>
        <v>0</v>
      </c>
      <c r="J67" s="960">
        <f t="shared" si="12"/>
        <v>0</v>
      </c>
      <c r="K67" s="293">
        <f t="shared" si="13"/>
        <v>0</v>
      </c>
      <c r="L67" s="860">
        <f>LOOKUP('Overflow (2)'!$C25,Cities!$A$3:$A$356,Cities!$D$3:$D$356)</f>
        <v>0</v>
      </c>
      <c r="M67" s="861">
        <f t="shared" si="14"/>
        <v>0</v>
      </c>
      <c r="O67" s="271">
        <f>LOOKUP('Overflow (2)'!$C25,Cities!$A$3:$A$356,Cities!$C$3:$C$356)</f>
        <v>0</v>
      </c>
      <c r="P67" s="857">
        <f>IF('Overflow (2)'!O25&lt;2015,'Print Return'!L$45,J67)</f>
        <v>0</v>
      </c>
      <c r="Q67" s="858">
        <f>'Overflow (2)'!$M25</f>
        <v>0</v>
      </c>
      <c r="R67" s="859">
        <f t="shared" si="15"/>
        <v>0</v>
      </c>
      <c r="S67" s="825">
        <f>'Overflow (2)'!G79</f>
        <v>0</v>
      </c>
      <c r="T67" s="826">
        <f t="shared" si="16"/>
        <v>0</v>
      </c>
      <c r="U67" s="860">
        <f>LOOKUP('Overflow (2)'!$C25,Cities!$A$3:$A$356,Cities!$D$3:$D$356)</f>
        <v>0</v>
      </c>
      <c r="V67" s="861">
        <f t="shared" si="17"/>
        <v>0</v>
      </c>
    </row>
    <row r="68" spans="1:22" x14ac:dyDescent="0.2">
      <c r="A68" s="271">
        <f>LOOKUP('Overflow (2)'!$C26,Cities!$A$3:$A$356,Cities!$C$3:$C$356)</f>
        <v>0</v>
      </c>
      <c r="B68" s="959">
        <f>'Print Return'!L$37</f>
        <v>0</v>
      </c>
      <c r="C68" s="858">
        <f>'Overflow (2)'!$M26</f>
        <v>0</v>
      </c>
      <c r="D68" s="859">
        <f t="shared" si="9"/>
        <v>0</v>
      </c>
      <c r="E68" s="825">
        <f>'Overflow (2)'!G80</f>
        <v>0</v>
      </c>
      <c r="F68" s="826">
        <f t="shared" si="10"/>
        <v>0</v>
      </c>
      <c r="G68" s="960">
        <f t="shared" si="11"/>
        <v>0</v>
      </c>
      <c r="H68" s="122">
        <f>'Print Return'!L$41</f>
        <v>0</v>
      </c>
      <c r="I68" s="293">
        <f>IF('Overflow (2)'!O26&lt;2015,MIN(G68,H68)/2,MIN(G68,H68))</f>
        <v>0</v>
      </c>
      <c r="J68" s="960">
        <f t="shared" si="12"/>
        <v>0</v>
      </c>
      <c r="K68" s="293">
        <f t="shared" si="13"/>
        <v>0</v>
      </c>
      <c r="L68" s="860">
        <f>LOOKUP('Overflow (2)'!$C26,Cities!$A$3:$A$356,Cities!$D$3:$D$356)</f>
        <v>0</v>
      </c>
      <c r="M68" s="861">
        <f t="shared" si="14"/>
        <v>0</v>
      </c>
      <c r="O68" s="271">
        <f>LOOKUP('Overflow (2)'!$C26,Cities!$A$3:$A$356,Cities!$C$3:$C$356)</f>
        <v>0</v>
      </c>
      <c r="P68" s="857">
        <f>IF('Overflow (2)'!O26&lt;2015,'Print Return'!L$45,J68)</f>
        <v>0</v>
      </c>
      <c r="Q68" s="858">
        <f>'Overflow (2)'!$M26</f>
        <v>0</v>
      </c>
      <c r="R68" s="859">
        <f t="shared" si="15"/>
        <v>0</v>
      </c>
      <c r="S68" s="825">
        <f>'Overflow (2)'!G80</f>
        <v>0</v>
      </c>
      <c r="T68" s="826">
        <f t="shared" si="16"/>
        <v>0</v>
      </c>
      <c r="U68" s="860">
        <f>LOOKUP('Overflow (2)'!$C26,Cities!$A$3:$A$356,Cities!$D$3:$D$356)</f>
        <v>0</v>
      </c>
      <c r="V68" s="861">
        <f t="shared" si="17"/>
        <v>0</v>
      </c>
    </row>
    <row r="69" spans="1:22" x14ac:dyDescent="0.2">
      <c r="A69" s="271">
        <f>LOOKUP('Overflow (2)'!$C27,Cities!$A$3:$A$356,Cities!$C$3:$C$356)</f>
        <v>0</v>
      </c>
      <c r="B69" s="959">
        <f>'Print Return'!L$37</f>
        <v>0</v>
      </c>
      <c r="C69" s="858">
        <f>'Overflow (2)'!$M27</f>
        <v>0</v>
      </c>
      <c r="D69" s="859">
        <f t="shared" si="9"/>
        <v>0</v>
      </c>
      <c r="E69" s="825">
        <f>'Overflow (2)'!G81</f>
        <v>0</v>
      </c>
      <c r="F69" s="826">
        <f t="shared" si="10"/>
        <v>0</v>
      </c>
      <c r="G69" s="960">
        <f t="shared" si="11"/>
        <v>0</v>
      </c>
      <c r="H69" s="122">
        <f>'Print Return'!L$41</f>
        <v>0</v>
      </c>
      <c r="I69" s="293">
        <f>IF('Overflow (2)'!O27&lt;2015,MIN(G69,H69)/2,MIN(G69,H69))</f>
        <v>0</v>
      </c>
      <c r="J69" s="960">
        <f t="shared" si="12"/>
        <v>0</v>
      </c>
      <c r="K69" s="293">
        <f t="shared" si="13"/>
        <v>0</v>
      </c>
      <c r="L69" s="860">
        <f>LOOKUP('Overflow (2)'!$C27,Cities!$A$3:$A$356,Cities!$D$3:$D$356)</f>
        <v>0</v>
      </c>
      <c r="M69" s="861">
        <f t="shared" si="14"/>
        <v>0</v>
      </c>
      <c r="O69" s="271">
        <f>LOOKUP('Overflow (2)'!$C27,Cities!$A$3:$A$356,Cities!$C$3:$C$356)</f>
        <v>0</v>
      </c>
      <c r="P69" s="857">
        <f>IF('Overflow (2)'!O27&lt;2015,'Print Return'!L$45,J69)</f>
        <v>0</v>
      </c>
      <c r="Q69" s="858">
        <f>'Overflow (2)'!$M27</f>
        <v>0</v>
      </c>
      <c r="R69" s="859">
        <f t="shared" si="15"/>
        <v>0</v>
      </c>
      <c r="S69" s="825">
        <f>'Overflow (2)'!G81</f>
        <v>0</v>
      </c>
      <c r="T69" s="826">
        <f t="shared" si="16"/>
        <v>0</v>
      </c>
      <c r="U69" s="860">
        <f>LOOKUP('Overflow (2)'!$C27,Cities!$A$3:$A$356,Cities!$D$3:$D$356)</f>
        <v>0</v>
      </c>
      <c r="V69" s="861">
        <f t="shared" si="17"/>
        <v>0</v>
      </c>
    </row>
    <row r="70" spans="1:22" x14ac:dyDescent="0.2">
      <c r="A70" s="271">
        <f>LOOKUP('Overflow (2)'!$C28,Cities!$A$3:$A$356,Cities!$C$3:$C$356)</f>
        <v>0</v>
      </c>
      <c r="B70" s="959">
        <f>'Print Return'!L$37</f>
        <v>0</v>
      </c>
      <c r="C70" s="858">
        <f>'Overflow (2)'!$M28</f>
        <v>0</v>
      </c>
      <c r="D70" s="859">
        <f t="shared" si="9"/>
        <v>0</v>
      </c>
      <c r="E70" s="825">
        <f>'Overflow (2)'!G82</f>
        <v>0</v>
      </c>
      <c r="F70" s="826">
        <f t="shared" si="10"/>
        <v>0</v>
      </c>
      <c r="G70" s="960">
        <f t="shared" si="11"/>
        <v>0</v>
      </c>
      <c r="H70" s="122">
        <f>'Print Return'!L$41</f>
        <v>0</v>
      </c>
      <c r="I70" s="293">
        <f>IF('Overflow (2)'!O28&lt;2015,MIN(G70,H70)/2,MIN(G70,H70))</f>
        <v>0</v>
      </c>
      <c r="J70" s="960">
        <f t="shared" si="12"/>
        <v>0</v>
      </c>
      <c r="K70" s="293">
        <f t="shared" si="13"/>
        <v>0</v>
      </c>
      <c r="L70" s="860">
        <f>LOOKUP('Overflow (2)'!$C28,Cities!$A$3:$A$356,Cities!$D$3:$D$356)</f>
        <v>0</v>
      </c>
      <c r="M70" s="861">
        <f t="shared" si="14"/>
        <v>0</v>
      </c>
      <c r="O70" s="271">
        <f>LOOKUP('Overflow (2)'!$C28,Cities!$A$3:$A$356,Cities!$C$3:$C$356)</f>
        <v>0</v>
      </c>
      <c r="P70" s="857">
        <f>IF('Overflow (2)'!O28&lt;2015,'Print Return'!L$45,J70)</f>
        <v>0</v>
      </c>
      <c r="Q70" s="858">
        <f>'Overflow (2)'!$M28</f>
        <v>0</v>
      </c>
      <c r="R70" s="859">
        <f t="shared" si="15"/>
        <v>0</v>
      </c>
      <c r="S70" s="825">
        <f>'Overflow (2)'!G82</f>
        <v>0</v>
      </c>
      <c r="T70" s="826">
        <f t="shared" si="16"/>
        <v>0</v>
      </c>
      <c r="U70" s="860">
        <f>LOOKUP('Overflow (2)'!$C28,Cities!$A$3:$A$356,Cities!$D$3:$D$356)</f>
        <v>0</v>
      </c>
      <c r="V70" s="861">
        <f t="shared" si="17"/>
        <v>0</v>
      </c>
    </row>
    <row r="71" spans="1:22" x14ac:dyDescent="0.2">
      <c r="A71" s="271">
        <f>LOOKUP('Overflow (2)'!$C29,Cities!$A$3:$A$356,Cities!$C$3:$C$356)</f>
        <v>0</v>
      </c>
      <c r="B71" s="959">
        <f>'Print Return'!L$37</f>
        <v>0</v>
      </c>
      <c r="C71" s="858">
        <f>'Overflow (2)'!$M29</f>
        <v>0</v>
      </c>
      <c r="D71" s="859">
        <f t="shared" si="9"/>
        <v>0</v>
      </c>
      <c r="E71" s="825">
        <f>'Overflow (2)'!G83</f>
        <v>0</v>
      </c>
      <c r="F71" s="826">
        <f t="shared" si="10"/>
        <v>0</v>
      </c>
      <c r="G71" s="960">
        <f t="shared" si="11"/>
        <v>0</v>
      </c>
      <c r="H71" s="122">
        <f>'Print Return'!L$41</f>
        <v>0</v>
      </c>
      <c r="I71" s="293">
        <f>IF('Overflow (2)'!O29&lt;2015,MIN(G71,H71)/2,MIN(G71,H71))</f>
        <v>0</v>
      </c>
      <c r="J71" s="960">
        <f t="shared" si="12"/>
        <v>0</v>
      </c>
      <c r="K71" s="293">
        <f t="shared" si="13"/>
        <v>0</v>
      </c>
      <c r="L71" s="860">
        <f>LOOKUP('Overflow (2)'!$C29,Cities!$A$3:$A$356,Cities!$D$3:$D$356)</f>
        <v>0</v>
      </c>
      <c r="M71" s="861">
        <f t="shared" si="14"/>
        <v>0</v>
      </c>
      <c r="O71" s="271">
        <f>LOOKUP('Overflow (2)'!$C29,Cities!$A$3:$A$356,Cities!$C$3:$C$356)</f>
        <v>0</v>
      </c>
      <c r="P71" s="857">
        <f>IF('Overflow (2)'!O29&lt;2015,'Print Return'!L$45,J71)</f>
        <v>0</v>
      </c>
      <c r="Q71" s="858">
        <f>'Overflow (2)'!$M29</f>
        <v>0</v>
      </c>
      <c r="R71" s="859">
        <f t="shared" si="15"/>
        <v>0</v>
      </c>
      <c r="S71" s="825">
        <f>'Overflow (2)'!G83</f>
        <v>0</v>
      </c>
      <c r="T71" s="826">
        <f t="shared" si="16"/>
        <v>0</v>
      </c>
      <c r="U71" s="860">
        <f>LOOKUP('Overflow (2)'!$C29,Cities!$A$3:$A$356,Cities!$D$3:$D$356)</f>
        <v>0</v>
      </c>
      <c r="V71" s="861">
        <f t="shared" si="17"/>
        <v>0</v>
      </c>
    </row>
    <row r="72" spans="1:22" x14ac:dyDescent="0.2">
      <c r="A72" s="271">
        <f>LOOKUP('Overflow (2)'!$C30,Cities!$A$3:$A$356,Cities!$C$3:$C$356)</f>
        <v>0</v>
      </c>
      <c r="B72" s="959">
        <f>'Print Return'!L$37</f>
        <v>0</v>
      </c>
      <c r="C72" s="858">
        <f>'Overflow (2)'!$M30</f>
        <v>0</v>
      </c>
      <c r="D72" s="859">
        <f t="shared" si="9"/>
        <v>0</v>
      </c>
      <c r="E72" s="825">
        <f>'Overflow (2)'!G84</f>
        <v>0</v>
      </c>
      <c r="F72" s="826">
        <f t="shared" si="10"/>
        <v>0</v>
      </c>
      <c r="G72" s="960">
        <f t="shared" si="11"/>
        <v>0</v>
      </c>
      <c r="H72" s="122">
        <f>'Print Return'!L$41</f>
        <v>0</v>
      </c>
      <c r="I72" s="293">
        <f>IF('Overflow (2)'!O30&lt;2015,MIN(G72,H72)/2,MIN(G72,H72))</f>
        <v>0</v>
      </c>
      <c r="J72" s="960">
        <f t="shared" si="12"/>
        <v>0</v>
      </c>
      <c r="K72" s="293">
        <f t="shared" si="13"/>
        <v>0</v>
      </c>
      <c r="L72" s="860">
        <f>LOOKUP('Overflow (2)'!$C30,Cities!$A$3:$A$356,Cities!$D$3:$D$356)</f>
        <v>0</v>
      </c>
      <c r="M72" s="861">
        <f t="shared" si="14"/>
        <v>0</v>
      </c>
      <c r="O72" s="271">
        <f>LOOKUP('Overflow (2)'!$C30,Cities!$A$3:$A$356,Cities!$C$3:$C$356)</f>
        <v>0</v>
      </c>
      <c r="P72" s="857">
        <f>IF('Overflow (2)'!O30&lt;2015,'Print Return'!L$45,J72)</f>
        <v>0</v>
      </c>
      <c r="Q72" s="858">
        <f>'Overflow (2)'!$M30</f>
        <v>0</v>
      </c>
      <c r="R72" s="859">
        <f t="shared" si="15"/>
        <v>0</v>
      </c>
      <c r="S72" s="825">
        <f>'Overflow (2)'!G84</f>
        <v>0</v>
      </c>
      <c r="T72" s="826">
        <f t="shared" si="16"/>
        <v>0</v>
      </c>
      <c r="U72" s="860">
        <f>LOOKUP('Overflow (2)'!$C30,Cities!$A$3:$A$356,Cities!$D$3:$D$356)</f>
        <v>0</v>
      </c>
      <c r="V72" s="861">
        <f t="shared" si="17"/>
        <v>0</v>
      </c>
    </row>
    <row r="73" spans="1:22" x14ac:dyDescent="0.2">
      <c r="A73" s="271">
        <f>LOOKUP('Overflow (2)'!$C31,Cities!$A$3:$A$356,Cities!$C$3:$C$356)</f>
        <v>0</v>
      </c>
      <c r="B73" s="959">
        <f>'Print Return'!L$37</f>
        <v>0</v>
      </c>
      <c r="C73" s="858">
        <f>'Overflow (2)'!$M31</f>
        <v>0</v>
      </c>
      <c r="D73" s="859">
        <f t="shared" si="9"/>
        <v>0</v>
      </c>
      <c r="E73" s="825">
        <f>'Overflow (2)'!G85</f>
        <v>0</v>
      </c>
      <c r="F73" s="826">
        <f t="shared" si="10"/>
        <v>0</v>
      </c>
      <c r="G73" s="960">
        <f t="shared" si="11"/>
        <v>0</v>
      </c>
      <c r="H73" s="122">
        <f>'Print Return'!L$41</f>
        <v>0</v>
      </c>
      <c r="I73" s="293">
        <f>IF('Overflow (2)'!O31&lt;2015,MIN(G73,H73)/2,MIN(G73,H73))</f>
        <v>0</v>
      </c>
      <c r="J73" s="960">
        <f t="shared" si="12"/>
        <v>0</v>
      </c>
      <c r="K73" s="293">
        <f t="shared" si="13"/>
        <v>0</v>
      </c>
      <c r="L73" s="860">
        <f>LOOKUP('Overflow (2)'!$C31,Cities!$A$3:$A$356,Cities!$D$3:$D$356)</f>
        <v>0</v>
      </c>
      <c r="M73" s="861">
        <f t="shared" si="14"/>
        <v>0</v>
      </c>
      <c r="O73" s="271">
        <f>LOOKUP('Overflow (2)'!$C31,Cities!$A$3:$A$356,Cities!$C$3:$C$356)</f>
        <v>0</v>
      </c>
      <c r="P73" s="857">
        <f>IF('Overflow (2)'!O31&lt;2015,'Print Return'!L$45,J73)</f>
        <v>0</v>
      </c>
      <c r="Q73" s="858">
        <f>'Overflow (2)'!$M31</f>
        <v>0</v>
      </c>
      <c r="R73" s="859">
        <f t="shared" si="15"/>
        <v>0</v>
      </c>
      <c r="S73" s="825">
        <f>'Overflow (2)'!G85</f>
        <v>0</v>
      </c>
      <c r="T73" s="826">
        <f t="shared" si="16"/>
        <v>0</v>
      </c>
      <c r="U73" s="860">
        <f>LOOKUP('Overflow (2)'!$C31,Cities!$A$3:$A$356,Cities!$D$3:$D$356)</f>
        <v>0</v>
      </c>
      <c r="V73" s="861">
        <f t="shared" si="17"/>
        <v>0</v>
      </c>
    </row>
    <row r="74" spans="1:22" x14ac:dyDescent="0.2">
      <c r="A74" s="271">
        <f>LOOKUP('Overflow (2)'!$C32,Cities!$A$3:$A$356,Cities!$C$3:$C$356)</f>
        <v>0</v>
      </c>
      <c r="B74" s="959">
        <f>'Print Return'!L$37</f>
        <v>0</v>
      </c>
      <c r="C74" s="858">
        <f>'Overflow (2)'!$M32</f>
        <v>0</v>
      </c>
      <c r="D74" s="859">
        <f t="shared" si="9"/>
        <v>0</v>
      </c>
      <c r="E74" s="825">
        <f>'Overflow (2)'!G86</f>
        <v>0</v>
      </c>
      <c r="F74" s="826">
        <f t="shared" si="10"/>
        <v>0</v>
      </c>
      <c r="G74" s="960">
        <f t="shared" si="11"/>
        <v>0</v>
      </c>
      <c r="H74" s="122">
        <f>'Print Return'!L$41</f>
        <v>0</v>
      </c>
      <c r="I74" s="293">
        <f>IF('Overflow (2)'!O32&lt;2015,MIN(G74,H74)/2,MIN(G74,H74))</f>
        <v>0</v>
      </c>
      <c r="J74" s="960">
        <f t="shared" si="12"/>
        <v>0</v>
      </c>
      <c r="K74" s="293">
        <f t="shared" si="13"/>
        <v>0</v>
      </c>
      <c r="L74" s="860">
        <f>LOOKUP('Overflow (2)'!$C32,Cities!$A$3:$A$356,Cities!$D$3:$D$356)</f>
        <v>0</v>
      </c>
      <c r="M74" s="861">
        <f t="shared" si="14"/>
        <v>0</v>
      </c>
      <c r="O74" s="271">
        <f>LOOKUP('Overflow (2)'!$C32,Cities!$A$3:$A$356,Cities!$C$3:$C$356)</f>
        <v>0</v>
      </c>
      <c r="P74" s="857">
        <f>IF('Overflow (2)'!O32&lt;2015,'Print Return'!L$45,J74)</f>
        <v>0</v>
      </c>
      <c r="Q74" s="858">
        <f>'Overflow (2)'!$M32</f>
        <v>0</v>
      </c>
      <c r="R74" s="859">
        <f t="shared" si="15"/>
        <v>0</v>
      </c>
      <c r="S74" s="825">
        <f>'Overflow (2)'!G86</f>
        <v>0</v>
      </c>
      <c r="T74" s="826">
        <f t="shared" si="16"/>
        <v>0</v>
      </c>
      <c r="U74" s="860">
        <f>LOOKUP('Overflow (2)'!$C32,Cities!$A$3:$A$356,Cities!$D$3:$D$356)</f>
        <v>0</v>
      </c>
      <c r="V74" s="861">
        <f t="shared" si="17"/>
        <v>0</v>
      </c>
    </row>
    <row r="75" spans="1:22" x14ac:dyDescent="0.2">
      <c r="A75" s="271">
        <f>LOOKUP('Overflow (2)'!$C33,Cities!$A$3:$A$356,Cities!$C$3:$C$356)</f>
        <v>0</v>
      </c>
      <c r="B75" s="959">
        <f>'Print Return'!L$37</f>
        <v>0</v>
      </c>
      <c r="C75" s="858">
        <f>'Overflow (2)'!$M33</f>
        <v>0</v>
      </c>
      <c r="D75" s="859">
        <f t="shared" si="9"/>
        <v>0</v>
      </c>
      <c r="E75" s="825">
        <f>'Overflow (2)'!G87</f>
        <v>0</v>
      </c>
      <c r="F75" s="826">
        <f t="shared" si="10"/>
        <v>0</v>
      </c>
      <c r="G75" s="960">
        <f t="shared" si="11"/>
        <v>0</v>
      </c>
      <c r="H75" s="122">
        <f>'Print Return'!L$41</f>
        <v>0</v>
      </c>
      <c r="I75" s="293">
        <f>IF('Overflow (2)'!O33&lt;2015,MIN(G75,H75)/2,MIN(G75,H75))</f>
        <v>0</v>
      </c>
      <c r="J75" s="960">
        <f t="shared" si="12"/>
        <v>0</v>
      </c>
      <c r="K75" s="293">
        <f t="shared" si="13"/>
        <v>0</v>
      </c>
      <c r="L75" s="860">
        <f>LOOKUP('Overflow (2)'!$C33,Cities!$A$3:$A$356,Cities!$D$3:$D$356)</f>
        <v>0</v>
      </c>
      <c r="M75" s="861">
        <f t="shared" si="14"/>
        <v>0</v>
      </c>
      <c r="O75" s="271">
        <f>LOOKUP('Overflow (2)'!$C33,Cities!$A$3:$A$356,Cities!$C$3:$C$356)</f>
        <v>0</v>
      </c>
      <c r="P75" s="857">
        <f>IF('Overflow (2)'!O33&lt;2015,'Print Return'!L$45,J75)</f>
        <v>0</v>
      </c>
      <c r="Q75" s="858">
        <f>'Overflow (2)'!$M33</f>
        <v>0</v>
      </c>
      <c r="R75" s="859">
        <f t="shared" si="15"/>
        <v>0</v>
      </c>
      <c r="S75" s="825">
        <f>'Overflow (2)'!G87</f>
        <v>0</v>
      </c>
      <c r="T75" s="826">
        <f t="shared" si="16"/>
        <v>0</v>
      </c>
      <c r="U75" s="860">
        <f>LOOKUP('Overflow (2)'!$C33,Cities!$A$3:$A$356,Cities!$D$3:$D$356)</f>
        <v>0</v>
      </c>
      <c r="V75" s="861">
        <f t="shared" si="17"/>
        <v>0</v>
      </c>
    </row>
    <row r="76" spans="1:22" x14ac:dyDescent="0.2">
      <c r="A76" s="271">
        <f>LOOKUP('Overflow (2)'!$C34,Cities!$A$3:$A$356,Cities!$C$3:$C$356)</f>
        <v>0</v>
      </c>
      <c r="B76" s="959">
        <f>'Print Return'!L$37</f>
        <v>0</v>
      </c>
      <c r="C76" s="858">
        <f>'Overflow (2)'!$M34</f>
        <v>0</v>
      </c>
      <c r="D76" s="859">
        <f t="shared" si="9"/>
        <v>0</v>
      </c>
      <c r="E76" s="825">
        <f>'Overflow (2)'!G88</f>
        <v>0</v>
      </c>
      <c r="F76" s="826">
        <f t="shared" si="10"/>
        <v>0</v>
      </c>
      <c r="G76" s="960">
        <f t="shared" si="11"/>
        <v>0</v>
      </c>
      <c r="H76" s="122">
        <f>'Print Return'!L$41</f>
        <v>0</v>
      </c>
      <c r="I76" s="293">
        <f>IF('Overflow (2)'!O34&lt;2015,MIN(G76,H76)/2,MIN(G76,H76))</f>
        <v>0</v>
      </c>
      <c r="J76" s="960">
        <f t="shared" si="12"/>
        <v>0</v>
      </c>
      <c r="K76" s="293">
        <f t="shared" si="13"/>
        <v>0</v>
      </c>
      <c r="L76" s="860">
        <f>LOOKUP('Overflow (2)'!$C34,Cities!$A$3:$A$356,Cities!$D$3:$D$356)</f>
        <v>0</v>
      </c>
      <c r="M76" s="861">
        <f t="shared" si="14"/>
        <v>0</v>
      </c>
      <c r="O76" s="271">
        <f>LOOKUP('Overflow (2)'!$C34,Cities!$A$3:$A$356,Cities!$C$3:$C$356)</f>
        <v>0</v>
      </c>
      <c r="P76" s="857">
        <f>IF('Overflow (2)'!O34&lt;2015,'Print Return'!L$45,J76)</f>
        <v>0</v>
      </c>
      <c r="Q76" s="858">
        <f>'Overflow (2)'!$M34</f>
        <v>0</v>
      </c>
      <c r="R76" s="859">
        <f t="shared" si="15"/>
        <v>0</v>
      </c>
      <c r="S76" s="825">
        <f>'Overflow (2)'!G88</f>
        <v>0</v>
      </c>
      <c r="T76" s="826">
        <f t="shared" si="16"/>
        <v>0</v>
      </c>
      <c r="U76" s="860">
        <f>LOOKUP('Overflow (2)'!$C34,Cities!$A$3:$A$356,Cities!$D$3:$D$356)</f>
        <v>0</v>
      </c>
      <c r="V76" s="861">
        <f t="shared" si="17"/>
        <v>0</v>
      </c>
    </row>
    <row r="77" spans="1:22" x14ac:dyDescent="0.2">
      <c r="A77" s="271">
        <f>LOOKUP('Overflow (2)'!$C35,Cities!$A$3:$A$356,Cities!$C$3:$C$356)</f>
        <v>0</v>
      </c>
      <c r="B77" s="959">
        <f>'Print Return'!L$37</f>
        <v>0</v>
      </c>
      <c r="C77" s="858">
        <f>'Overflow (2)'!$M35</f>
        <v>0</v>
      </c>
      <c r="D77" s="859">
        <f t="shared" si="9"/>
        <v>0</v>
      </c>
      <c r="E77" s="825">
        <f>'Overflow (2)'!G89</f>
        <v>0</v>
      </c>
      <c r="F77" s="826">
        <f t="shared" si="10"/>
        <v>0</v>
      </c>
      <c r="G77" s="960">
        <f t="shared" si="11"/>
        <v>0</v>
      </c>
      <c r="H77" s="122">
        <f>'Print Return'!L$41</f>
        <v>0</v>
      </c>
      <c r="I77" s="293">
        <f>IF('Overflow (2)'!O35&lt;2015,MIN(G77,H77)/2,MIN(G77,H77))</f>
        <v>0</v>
      </c>
      <c r="J77" s="960">
        <f t="shared" si="12"/>
        <v>0</v>
      </c>
      <c r="K77" s="293">
        <f t="shared" si="13"/>
        <v>0</v>
      </c>
      <c r="L77" s="860">
        <f>LOOKUP('Overflow (2)'!$C35,Cities!$A$3:$A$356,Cities!$D$3:$D$356)</f>
        <v>0</v>
      </c>
      <c r="M77" s="861">
        <f t="shared" si="14"/>
        <v>0</v>
      </c>
      <c r="O77" s="271">
        <f>LOOKUP('Overflow (2)'!$C35,Cities!$A$3:$A$356,Cities!$C$3:$C$356)</f>
        <v>0</v>
      </c>
      <c r="P77" s="857">
        <f>IF('Overflow (2)'!O35&lt;2015,'Print Return'!L$45,J77)</f>
        <v>0</v>
      </c>
      <c r="Q77" s="858">
        <f>'Overflow (2)'!$M35</f>
        <v>0</v>
      </c>
      <c r="R77" s="859">
        <f t="shared" si="15"/>
        <v>0</v>
      </c>
      <c r="S77" s="825">
        <f>'Overflow (2)'!G89</f>
        <v>0</v>
      </c>
      <c r="T77" s="826">
        <f t="shared" si="16"/>
        <v>0</v>
      </c>
      <c r="U77" s="860">
        <f>LOOKUP('Overflow (2)'!$C35,Cities!$A$3:$A$356,Cities!$D$3:$D$356)</f>
        <v>0</v>
      </c>
      <c r="V77" s="861">
        <f t="shared" si="17"/>
        <v>0</v>
      </c>
    </row>
    <row r="78" spans="1:22" x14ac:dyDescent="0.2">
      <c r="A78" s="271">
        <f>LOOKUP('Overflow (2)'!$C36,Cities!$A$3:$A$356,Cities!$C$3:$C$356)</f>
        <v>0</v>
      </c>
      <c r="B78" s="959">
        <f>'Print Return'!L$37</f>
        <v>0</v>
      </c>
      <c r="C78" s="858">
        <f>'Overflow (2)'!$M36</f>
        <v>0</v>
      </c>
      <c r="D78" s="859">
        <f t="shared" si="9"/>
        <v>0</v>
      </c>
      <c r="E78" s="825">
        <f>'Overflow (2)'!G90</f>
        <v>0</v>
      </c>
      <c r="F78" s="826">
        <f t="shared" si="10"/>
        <v>0</v>
      </c>
      <c r="G78" s="960">
        <f t="shared" si="11"/>
        <v>0</v>
      </c>
      <c r="H78" s="122">
        <f>'Print Return'!L$41</f>
        <v>0</v>
      </c>
      <c r="I78" s="293">
        <f>IF('Overflow (2)'!O36&lt;2015,MIN(G78,H78)/2,MIN(G78,H78))</f>
        <v>0</v>
      </c>
      <c r="J78" s="960">
        <f t="shared" si="12"/>
        <v>0</v>
      </c>
      <c r="K78" s="293">
        <f t="shared" si="13"/>
        <v>0</v>
      </c>
      <c r="L78" s="860">
        <f>LOOKUP('Overflow (2)'!$C36,Cities!$A$3:$A$356,Cities!$D$3:$D$356)</f>
        <v>0</v>
      </c>
      <c r="M78" s="861">
        <f t="shared" si="14"/>
        <v>0</v>
      </c>
      <c r="O78" s="271">
        <f>LOOKUP('Overflow (2)'!$C36,Cities!$A$3:$A$356,Cities!$C$3:$C$356)</f>
        <v>0</v>
      </c>
      <c r="P78" s="857">
        <f>IF('Overflow (2)'!O36&lt;2015,'Print Return'!L$45,J78)</f>
        <v>0</v>
      </c>
      <c r="Q78" s="858">
        <f>'Overflow (2)'!$M36</f>
        <v>0</v>
      </c>
      <c r="R78" s="859">
        <f t="shared" si="15"/>
        <v>0</v>
      </c>
      <c r="S78" s="825">
        <f>'Overflow (2)'!G90</f>
        <v>0</v>
      </c>
      <c r="T78" s="826">
        <f t="shared" si="16"/>
        <v>0</v>
      </c>
      <c r="U78" s="860">
        <f>LOOKUP('Overflow (2)'!$C36,Cities!$A$3:$A$356,Cities!$D$3:$D$356)</f>
        <v>0</v>
      </c>
      <c r="V78" s="861">
        <f t="shared" si="17"/>
        <v>0</v>
      </c>
    </row>
    <row r="79" spans="1:22" x14ac:dyDescent="0.2">
      <c r="A79" s="271">
        <f>LOOKUP('Overflow (2)'!$C37,Cities!$A$3:$A$356,Cities!$C$3:$C$356)</f>
        <v>0</v>
      </c>
      <c r="B79" s="959">
        <f>'Print Return'!L$37</f>
        <v>0</v>
      </c>
      <c r="C79" s="858">
        <f>'Overflow (2)'!$M37</f>
        <v>0</v>
      </c>
      <c r="D79" s="859">
        <f t="shared" si="9"/>
        <v>0</v>
      </c>
      <c r="E79" s="825">
        <f>'Overflow (2)'!G91</f>
        <v>0</v>
      </c>
      <c r="F79" s="826">
        <f t="shared" si="10"/>
        <v>0</v>
      </c>
      <c r="G79" s="960">
        <f t="shared" si="11"/>
        <v>0</v>
      </c>
      <c r="H79" s="122">
        <f>'Print Return'!L$41</f>
        <v>0</v>
      </c>
      <c r="I79" s="293">
        <f>IF('Overflow (2)'!O37&lt;2015,MIN(G79,H79)/2,MIN(G79,H79))</f>
        <v>0</v>
      </c>
      <c r="J79" s="960">
        <f t="shared" si="12"/>
        <v>0</v>
      </c>
      <c r="K79" s="293">
        <f t="shared" si="13"/>
        <v>0</v>
      </c>
      <c r="L79" s="860">
        <f>LOOKUP('Overflow (2)'!$C37,Cities!$A$3:$A$356,Cities!$D$3:$D$356)</f>
        <v>0</v>
      </c>
      <c r="M79" s="861">
        <f t="shared" si="14"/>
        <v>0</v>
      </c>
      <c r="O79" s="271">
        <f>LOOKUP('Overflow (2)'!$C37,Cities!$A$3:$A$356,Cities!$C$3:$C$356)</f>
        <v>0</v>
      </c>
      <c r="P79" s="857">
        <f>IF('Overflow (2)'!O37&lt;2015,'Print Return'!L$45,J79)</f>
        <v>0</v>
      </c>
      <c r="Q79" s="858">
        <f>'Overflow (2)'!$M37</f>
        <v>0</v>
      </c>
      <c r="R79" s="859">
        <f t="shared" si="15"/>
        <v>0</v>
      </c>
      <c r="S79" s="825">
        <f>'Overflow (2)'!G91</f>
        <v>0</v>
      </c>
      <c r="T79" s="826">
        <f t="shared" si="16"/>
        <v>0</v>
      </c>
      <c r="U79" s="860">
        <f>LOOKUP('Overflow (2)'!$C37,Cities!$A$3:$A$356,Cities!$D$3:$D$356)</f>
        <v>0</v>
      </c>
      <c r="V79" s="861">
        <f t="shared" si="17"/>
        <v>0</v>
      </c>
    </row>
    <row r="80" spans="1:22" x14ac:dyDescent="0.2">
      <c r="A80" s="271">
        <f>LOOKUP('Overflow (2)'!$C38,Cities!$A$3:$A$356,Cities!$C$3:$C$356)</f>
        <v>0</v>
      </c>
      <c r="B80" s="959">
        <f>'Print Return'!L$37</f>
        <v>0</v>
      </c>
      <c r="C80" s="858">
        <f>'Overflow (2)'!$M38</f>
        <v>0</v>
      </c>
      <c r="D80" s="859">
        <f t="shared" si="9"/>
        <v>0</v>
      </c>
      <c r="E80" s="825">
        <f>'Overflow (2)'!G92</f>
        <v>0</v>
      </c>
      <c r="F80" s="826">
        <f t="shared" si="10"/>
        <v>0</v>
      </c>
      <c r="G80" s="960">
        <f t="shared" si="11"/>
        <v>0</v>
      </c>
      <c r="H80" s="122">
        <f>'Print Return'!L$41</f>
        <v>0</v>
      </c>
      <c r="I80" s="293">
        <f>IF('Overflow (2)'!O38&lt;2015,MIN(G80,H80)/2,MIN(G80,H80))</f>
        <v>0</v>
      </c>
      <c r="J80" s="960">
        <f t="shared" si="12"/>
        <v>0</v>
      </c>
      <c r="K80" s="293">
        <f t="shared" si="13"/>
        <v>0</v>
      </c>
      <c r="L80" s="860">
        <f>LOOKUP('Overflow (2)'!$C38,Cities!$A$3:$A$356,Cities!$D$3:$D$356)</f>
        <v>0</v>
      </c>
      <c r="M80" s="861">
        <f t="shared" si="14"/>
        <v>0</v>
      </c>
      <c r="O80" s="271">
        <f>LOOKUP('Overflow (2)'!$C38,Cities!$A$3:$A$356,Cities!$C$3:$C$356)</f>
        <v>0</v>
      </c>
      <c r="P80" s="857">
        <f>IF('Overflow (2)'!O38&lt;2015,'Print Return'!L$45,J80)</f>
        <v>0</v>
      </c>
      <c r="Q80" s="858">
        <f>'Overflow (2)'!$M38</f>
        <v>0</v>
      </c>
      <c r="R80" s="859">
        <f t="shared" si="15"/>
        <v>0</v>
      </c>
      <c r="S80" s="825">
        <f>'Overflow (2)'!G92</f>
        <v>0</v>
      </c>
      <c r="T80" s="826">
        <f t="shared" si="16"/>
        <v>0</v>
      </c>
      <c r="U80" s="860">
        <f>LOOKUP('Overflow (2)'!$C38,Cities!$A$3:$A$356,Cities!$D$3:$D$356)</f>
        <v>0</v>
      </c>
      <c r="V80" s="861">
        <f t="shared" si="17"/>
        <v>0</v>
      </c>
    </row>
    <row r="81" spans="1:22" x14ac:dyDescent="0.2">
      <c r="A81" s="271">
        <f>LOOKUP('Overflow (2)'!$C39,Cities!$A$3:$A$356,Cities!$C$3:$C$356)</f>
        <v>0</v>
      </c>
      <c r="B81" s="959">
        <f>'Print Return'!L$37</f>
        <v>0</v>
      </c>
      <c r="C81" s="858">
        <f>'Overflow (2)'!$M39</f>
        <v>0</v>
      </c>
      <c r="D81" s="859">
        <f t="shared" si="9"/>
        <v>0</v>
      </c>
      <c r="E81" s="825">
        <f>'Overflow (2)'!G93</f>
        <v>0</v>
      </c>
      <c r="F81" s="826">
        <f t="shared" si="10"/>
        <v>0</v>
      </c>
      <c r="G81" s="960">
        <f t="shared" si="11"/>
        <v>0</v>
      </c>
      <c r="H81" s="122">
        <f>'Print Return'!L$41</f>
        <v>0</v>
      </c>
      <c r="I81" s="293">
        <f>IF('Overflow (2)'!O39&lt;2015,MIN(G81,H81)/2,MIN(G81,H81))</f>
        <v>0</v>
      </c>
      <c r="J81" s="960">
        <f t="shared" si="12"/>
        <v>0</v>
      </c>
      <c r="K81" s="293">
        <f t="shared" si="13"/>
        <v>0</v>
      </c>
      <c r="L81" s="860">
        <f>LOOKUP('Overflow (2)'!$C39,Cities!$A$3:$A$356,Cities!$D$3:$D$356)</f>
        <v>0</v>
      </c>
      <c r="M81" s="861">
        <f t="shared" si="14"/>
        <v>0</v>
      </c>
      <c r="O81" s="271">
        <f>LOOKUP('Overflow (2)'!$C39,Cities!$A$3:$A$356,Cities!$C$3:$C$356)</f>
        <v>0</v>
      </c>
      <c r="P81" s="857">
        <f>IF('Overflow (2)'!O39&lt;2015,'Print Return'!L$45,J81)</f>
        <v>0</v>
      </c>
      <c r="Q81" s="858">
        <f>'Overflow (2)'!$M39</f>
        <v>0</v>
      </c>
      <c r="R81" s="859">
        <f t="shared" si="15"/>
        <v>0</v>
      </c>
      <c r="S81" s="825">
        <f>'Overflow (2)'!G93</f>
        <v>0</v>
      </c>
      <c r="T81" s="826">
        <f t="shared" si="16"/>
        <v>0</v>
      </c>
      <c r="U81" s="860">
        <f>LOOKUP('Overflow (2)'!$C39,Cities!$A$3:$A$356,Cities!$D$3:$D$356)</f>
        <v>0</v>
      </c>
      <c r="V81" s="861">
        <f t="shared" si="17"/>
        <v>0</v>
      </c>
    </row>
    <row r="82" spans="1:22" x14ac:dyDescent="0.2">
      <c r="A82" s="271">
        <f>LOOKUP('Overflow (2)'!$C40,Cities!$A$3:$A$356,Cities!$C$3:$C$356)</f>
        <v>0</v>
      </c>
      <c r="B82" s="959">
        <f>'Print Return'!L$37</f>
        <v>0</v>
      </c>
      <c r="C82" s="858">
        <f>'Overflow (2)'!$M40</f>
        <v>0</v>
      </c>
      <c r="D82" s="859">
        <f t="shared" si="9"/>
        <v>0</v>
      </c>
      <c r="E82" s="825">
        <f>'Overflow (2)'!G94</f>
        <v>0</v>
      </c>
      <c r="F82" s="826">
        <f t="shared" si="10"/>
        <v>0</v>
      </c>
      <c r="G82" s="960">
        <f t="shared" si="11"/>
        <v>0</v>
      </c>
      <c r="H82" s="122">
        <f>'Print Return'!L$41</f>
        <v>0</v>
      </c>
      <c r="I82" s="293">
        <f>IF('Overflow (2)'!O40&lt;2015,MIN(G82,H82)/2,MIN(G82,H82))</f>
        <v>0</v>
      </c>
      <c r="J82" s="960">
        <f t="shared" si="12"/>
        <v>0</v>
      </c>
      <c r="K82" s="293">
        <f t="shared" si="13"/>
        <v>0</v>
      </c>
      <c r="L82" s="860">
        <f>LOOKUP('Overflow (2)'!$C40,Cities!$A$3:$A$356,Cities!$D$3:$D$356)</f>
        <v>0</v>
      </c>
      <c r="M82" s="861">
        <f t="shared" si="14"/>
        <v>0</v>
      </c>
      <c r="O82" s="271">
        <f>LOOKUP('Overflow (2)'!$C40,Cities!$A$3:$A$356,Cities!$C$3:$C$356)</f>
        <v>0</v>
      </c>
      <c r="P82" s="857">
        <f>IF('Overflow (2)'!O40&lt;2015,'Print Return'!L$45,J82)</f>
        <v>0</v>
      </c>
      <c r="Q82" s="858">
        <f>'Overflow (2)'!$M40</f>
        <v>0</v>
      </c>
      <c r="R82" s="859">
        <f t="shared" si="15"/>
        <v>0</v>
      </c>
      <c r="S82" s="825">
        <f>'Overflow (2)'!G94</f>
        <v>0</v>
      </c>
      <c r="T82" s="826">
        <f t="shared" si="16"/>
        <v>0</v>
      </c>
      <c r="U82" s="860">
        <f>LOOKUP('Overflow (2)'!$C40,Cities!$A$3:$A$356,Cities!$D$3:$D$356)</f>
        <v>0</v>
      </c>
      <c r="V82" s="861">
        <f t="shared" si="17"/>
        <v>0</v>
      </c>
    </row>
    <row r="83" spans="1:22" x14ac:dyDescent="0.2">
      <c r="A83" s="271">
        <f>LOOKUP('Overflow (2)'!$C41,Cities!$A$3:$A$356,Cities!$C$3:$C$356)</f>
        <v>0</v>
      </c>
      <c r="B83" s="959">
        <f>'Print Return'!L$37</f>
        <v>0</v>
      </c>
      <c r="C83" s="858">
        <f>'Overflow (2)'!$M41</f>
        <v>0</v>
      </c>
      <c r="D83" s="859">
        <f t="shared" si="9"/>
        <v>0</v>
      </c>
      <c r="E83" s="825">
        <f>'Overflow (2)'!G95</f>
        <v>0</v>
      </c>
      <c r="F83" s="826">
        <f t="shared" si="10"/>
        <v>0</v>
      </c>
      <c r="G83" s="960">
        <f t="shared" si="11"/>
        <v>0</v>
      </c>
      <c r="H83" s="122">
        <f>'Print Return'!L$41</f>
        <v>0</v>
      </c>
      <c r="I83" s="293">
        <f>IF('Overflow (2)'!O41&lt;2015,MIN(G83,H83)/2,MIN(G83,H83))</f>
        <v>0</v>
      </c>
      <c r="J83" s="960">
        <f t="shared" si="12"/>
        <v>0</v>
      </c>
      <c r="K83" s="293">
        <f t="shared" si="13"/>
        <v>0</v>
      </c>
      <c r="L83" s="860">
        <f>LOOKUP('Overflow (2)'!$C41,Cities!$A$3:$A$356,Cities!$D$3:$D$356)</f>
        <v>0</v>
      </c>
      <c r="M83" s="861">
        <f t="shared" si="14"/>
        <v>0</v>
      </c>
      <c r="O83" s="271">
        <f>LOOKUP('Overflow (2)'!$C41,Cities!$A$3:$A$356,Cities!$C$3:$C$356)</f>
        <v>0</v>
      </c>
      <c r="P83" s="857">
        <f>IF('Overflow (2)'!O41&lt;2015,'Print Return'!L$45,J83)</f>
        <v>0</v>
      </c>
      <c r="Q83" s="858">
        <f>'Overflow (2)'!$M41</f>
        <v>0</v>
      </c>
      <c r="R83" s="859">
        <f t="shared" si="15"/>
        <v>0</v>
      </c>
      <c r="S83" s="825">
        <f>'Overflow (2)'!G95</f>
        <v>0</v>
      </c>
      <c r="T83" s="826">
        <f t="shared" si="16"/>
        <v>0</v>
      </c>
      <c r="U83" s="860">
        <f>LOOKUP('Overflow (2)'!$C41,Cities!$A$3:$A$356,Cities!$D$3:$D$356)</f>
        <v>0</v>
      </c>
      <c r="V83" s="861">
        <f t="shared" si="17"/>
        <v>0</v>
      </c>
    </row>
    <row r="84" spans="1:22" x14ac:dyDescent="0.2">
      <c r="A84" s="271">
        <f>LOOKUP('Overflow (2)'!$C42,Cities!$A$3:$A$356,Cities!$C$3:$C$356)</f>
        <v>0</v>
      </c>
      <c r="B84" s="959">
        <f>'Print Return'!L$37</f>
        <v>0</v>
      </c>
      <c r="C84" s="858">
        <f>'Overflow (2)'!$M42</f>
        <v>0</v>
      </c>
      <c r="D84" s="859">
        <f t="shared" si="9"/>
        <v>0</v>
      </c>
      <c r="E84" s="825">
        <f>'Overflow (2)'!G96</f>
        <v>0</v>
      </c>
      <c r="F84" s="826">
        <f t="shared" si="10"/>
        <v>0</v>
      </c>
      <c r="G84" s="960">
        <f t="shared" si="11"/>
        <v>0</v>
      </c>
      <c r="H84" s="122">
        <f>'Print Return'!L$41</f>
        <v>0</v>
      </c>
      <c r="I84" s="293">
        <f>IF('Overflow (2)'!O42&lt;2015,MIN(G84,H84)/2,MIN(G84,H84))</f>
        <v>0</v>
      </c>
      <c r="J84" s="960">
        <f t="shared" si="12"/>
        <v>0</v>
      </c>
      <c r="K84" s="293">
        <f t="shared" si="13"/>
        <v>0</v>
      </c>
      <c r="L84" s="860">
        <f>LOOKUP('Overflow (2)'!$C42,Cities!$A$3:$A$356,Cities!$D$3:$D$356)</f>
        <v>0</v>
      </c>
      <c r="M84" s="861">
        <f t="shared" si="14"/>
        <v>0</v>
      </c>
      <c r="O84" s="271">
        <f>LOOKUP('Overflow (2)'!$C42,Cities!$A$3:$A$356,Cities!$C$3:$C$356)</f>
        <v>0</v>
      </c>
      <c r="P84" s="857">
        <f>IF('Overflow (2)'!O42&lt;2015,'Print Return'!L$45,J84)</f>
        <v>0</v>
      </c>
      <c r="Q84" s="858">
        <f>'Overflow (2)'!$M42</f>
        <v>0</v>
      </c>
      <c r="R84" s="859">
        <f t="shared" si="15"/>
        <v>0</v>
      </c>
      <c r="S84" s="825">
        <f>'Overflow (2)'!G96</f>
        <v>0</v>
      </c>
      <c r="T84" s="826">
        <f t="shared" si="16"/>
        <v>0</v>
      </c>
      <c r="U84" s="860">
        <f>LOOKUP('Overflow (2)'!$C42,Cities!$A$3:$A$356,Cities!$D$3:$D$356)</f>
        <v>0</v>
      </c>
      <c r="V84" s="861">
        <f t="shared" si="17"/>
        <v>0</v>
      </c>
    </row>
    <row r="85" spans="1:22" x14ac:dyDescent="0.2">
      <c r="A85" s="271">
        <f>LOOKUP('Overflow (2)'!$C43,Cities!$A$3:$A$356,Cities!$C$3:$C$356)</f>
        <v>0</v>
      </c>
      <c r="B85" s="959">
        <f>'Print Return'!L$37</f>
        <v>0</v>
      </c>
      <c r="C85" s="858">
        <f>'Overflow (2)'!$M43</f>
        <v>0</v>
      </c>
      <c r="D85" s="859">
        <f t="shared" si="9"/>
        <v>0</v>
      </c>
      <c r="E85" s="825">
        <f>'Overflow (2)'!G97</f>
        <v>0</v>
      </c>
      <c r="F85" s="826">
        <f t="shared" si="10"/>
        <v>0</v>
      </c>
      <c r="G85" s="960">
        <f t="shared" si="11"/>
        <v>0</v>
      </c>
      <c r="H85" s="122">
        <f>'Print Return'!L$41</f>
        <v>0</v>
      </c>
      <c r="I85" s="293">
        <f>IF('Overflow (2)'!O43&lt;2015,MIN(G85,H85)/2,MIN(G85,H85))</f>
        <v>0</v>
      </c>
      <c r="J85" s="960">
        <f t="shared" si="12"/>
        <v>0</v>
      </c>
      <c r="K85" s="293">
        <f t="shared" si="13"/>
        <v>0</v>
      </c>
      <c r="L85" s="860">
        <f>LOOKUP('Overflow (2)'!$C43,Cities!$A$3:$A$356,Cities!$D$3:$D$356)</f>
        <v>0</v>
      </c>
      <c r="M85" s="861">
        <f t="shared" si="14"/>
        <v>0</v>
      </c>
      <c r="O85" s="271">
        <f>LOOKUP('Overflow (2)'!$C43,Cities!$A$3:$A$356,Cities!$C$3:$C$356)</f>
        <v>0</v>
      </c>
      <c r="P85" s="857">
        <f>IF('Overflow (2)'!O43&lt;2015,'Print Return'!L$45,J85)</f>
        <v>0</v>
      </c>
      <c r="Q85" s="858">
        <f>'Overflow (2)'!$M43</f>
        <v>0</v>
      </c>
      <c r="R85" s="859">
        <f t="shared" si="15"/>
        <v>0</v>
      </c>
      <c r="S85" s="825">
        <f>'Overflow (2)'!G97</f>
        <v>0</v>
      </c>
      <c r="T85" s="826">
        <f t="shared" si="16"/>
        <v>0</v>
      </c>
      <c r="U85" s="860">
        <f>LOOKUP('Overflow (2)'!$C43,Cities!$A$3:$A$356,Cities!$D$3:$D$356)</f>
        <v>0</v>
      </c>
      <c r="V85" s="861">
        <f t="shared" si="17"/>
        <v>0</v>
      </c>
    </row>
    <row r="86" spans="1:22" x14ac:dyDescent="0.2">
      <c r="A86" s="271">
        <f>LOOKUP('Overflow (2)'!$C44,Cities!$A$3:$A$356,Cities!$C$3:$C$356)</f>
        <v>0</v>
      </c>
      <c r="B86" s="959">
        <f>'Print Return'!L$37</f>
        <v>0</v>
      </c>
      <c r="C86" s="858">
        <f>'Overflow (2)'!$M44</f>
        <v>0</v>
      </c>
      <c r="D86" s="859">
        <f t="shared" si="9"/>
        <v>0</v>
      </c>
      <c r="E86" s="825">
        <f>'Overflow (2)'!G98</f>
        <v>0</v>
      </c>
      <c r="F86" s="826">
        <f t="shared" si="10"/>
        <v>0</v>
      </c>
      <c r="G86" s="960">
        <f t="shared" si="11"/>
        <v>0</v>
      </c>
      <c r="H86" s="122">
        <f>'Print Return'!L$41</f>
        <v>0</v>
      </c>
      <c r="I86" s="293">
        <f>IF('Overflow (2)'!O44&lt;2015,MIN(G86,H86)/2,MIN(G86,H86))</f>
        <v>0</v>
      </c>
      <c r="J86" s="960">
        <f t="shared" si="12"/>
        <v>0</v>
      </c>
      <c r="K86" s="293">
        <f t="shared" si="13"/>
        <v>0</v>
      </c>
      <c r="L86" s="860">
        <f>LOOKUP('Overflow (2)'!$C44,Cities!$A$3:$A$356,Cities!$D$3:$D$356)</f>
        <v>0</v>
      </c>
      <c r="M86" s="861">
        <f t="shared" si="14"/>
        <v>0</v>
      </c>
      <c r="O86" s="271">
        <f>LOOKUP('Overflow (2)'!$C44,Cities!$A$3:$A$356,Cities!$C$3:$C$356)</f>
        <v>0</v>
      </c>
      <c r="P86" s="857">
        <f>IF('Overflow (2)'!O44&lt;2015,'Print Return'!L$45,J86)</f>
        <v>0</v>
      </c>
      <c r="Q86" s="858">
        <f>'Overflow (2)'!$M44</f>
        <v>0</v>
      </c>
      <c r="R86" s="859">
        <f t="shared" si="15"/>
        <v>0</v>
      </c>
      <c r="S86" s="825">
        <f>'Overflow (2)'!G98</f>
        <v>0</v>
      </c>
      <c r="T86" s="826">
        <f t="shared" si="16"/>
        <v>0</v>
      </c>
      <c r="U86" s="860">
        <f>LOOKUP('Overflow (2)'!$C44,Cities!$A$3:$A$356,Cities!$D$3:$D$356)</f>
        <v>0</v>
      </c>
      <c r="V86" s="861">
        <f t="shared" si="17"/>
        <v>0</v>
      </c>
    </row>
    <row r="87" spans="1:22" x14ac:dyDescent="0.2">
      <c r="A87" s="271">
        <f>LOOKUP('Overflow (2)'!$C45,Cities!$A$3:$A$356,Cities!$C$3:$C$356)</f>
        <v>0</v>
      </c>
      <c r="B87" s="959">
        <f>'Print Return'!L$37</f>
        <v>0</v>
      </c>
      <c r="C87" s="858">
        <f>'Overflow (2)'!$M45</f>
        <v>0</v>
      </c>
      <c r="D87" s="859">
        <f t="shared" si="9"/>
        <v>0</v>
      </c>
      <c r="E87" s="825">
        <f>'Overflow (2)'!G99</f>
        <v>0</v>
      </c>
      <c r="F87" s="826">
        <f t="shared" si="10"/>
        <v>0</v>
      </c>
      <c r="G87" s="960">
        <f t="shared" si="11"/>
        <v>0</v>
      </c>
      <c r="H87" s="122">
        <f>'Print Return'!L$41</f>
        <v>0</v>
      </c>
      <c r="I87" s="293">
        <f>IF('Overflow (2)'!O45&lt;2015,MIN(G87,H87)/2,MIN(G87,H87))</f>
        <v>0</v>
      </c>
      <c r="J87" s="960">
        <f t="shared" si="12"/>
        <v>0</v>
      </c>
      <c r="K87" s="293">
        <f t="shared" si="13"/>
        <v>0</v>
      </c>
      <c r="L87" s="860">
        <f>LOOKUP('Overflow (2)'!$C45,Cities!$A$3:$A$356,Cities!$D$3:$D$356)</f>
        <v>0</v>
      </c>
      <c r="M87" s="861">
        <f t="shared" si="14"/>
        <v>0</v>
      </c>
      <c r="O87" s="271">
        <f>LOOKUP('Overflow (2)'!$C45,Cities!$A$3:$A$356,Cities!$C$3:$C$356)</f>
        <v>0</v>
      </c>
      <c r="P87" s="857">
        <f>IF('Overflow (2)'!O45&lt;2015,'Print Return'!L$45,J87)</f>
        <v>0</v>
      </c>
      <c r="Q87" s="858">
        <f>'Overflow (2)'!$M45</f>
        <v>0</v>
      </c>
      <c r="R87" s="859">
        <f t="shared" si="15"/>
        <v>0</v>
      </c>
      <c r="S87" s="825">
        <f>'Overflow (2)'!G99</f>
        <v>0</v>
      </c>
      <c r="T87" s="826">
        <f t="shared" si="16"/>
        <v>0</v>
      </c>
      <c r="U87" s="860">
        <f>LOOKUP('Overflow (2)'!$C45,Cities!$A$3:$A$356,Cities!$D$3:$D$356)</f>
        <v>0</v>
      </c>
      <c r="V87" s="861">
        <f t="shared" si="17"/>
        <v>0</v>
      </c>
    </row>
    <row r="88" spans="1:22" x14ac:dyDescent="0.2">
      <c r="A88" s="271">
        <f>LOOKUP('Overflow (2)'!$C46,Cities!$A$3:$A$356,Cities!$C$3:$C$356)</f>
        <v>0</v>
      </c>
      <c r="B88" s="959">
        <f>'Print Return'!L$37</f>
        <v>0</v>
      </c>
      <c r="C88" s="858">
        <f>'Overflow (2)'!$M46</f>
        <v>0</v>
      </c>
      <c r="D88" s="859">
        <f t="shared" si="9"/>
        <v>0</v>
      </c>
      <c r="E88" s="825">
        <f>'Overflow (2)'!G100</f>
        <v>0</v>
      </c>
      <c r="F88" s="826">
        <f t="shared" si="10"/>
        <v>0</v>
      </c>
      <c r="G88" s="960">
        <f t="shared" si="11"/>
        <v>0</v>
      </c>
      <c r="H88" s="122">
        <f>'Print Return'!L$41</f>
        <v>0</v>
      </c>
      <c r="I88" s="293">
        <f>IF('Overflow (2)'!O46&lt;2015,MIN(G88,H88)/2,MIN(G88,H88))</f>
        <v>0</v>
      </c>
      <c r="J88" s="960">
        <f t="shared" si="12"/>
        <v>0</v>
      </c>
      <c r="K88" s="293">
        <f t="shared" si="13"/>
        <v>0</v>
      </c>
      <c r="L88" s="860">
        <f>LOOKUP('Overflow (2)'!$C46,Cities!$A$3:$A$356,Cities!$D$3:$D$356)</f>
        <v>0</v>
      </c>
      <c r="M88" s="861">
        <f t="shared" si="14"/>
        <v>0</v>
      </c>
      <c r="O88" s="271">
        <f>LOOKUP('Overflow (2)'!$C46,Cities!$A$3:$A$356,Cities!$C$3:$C$356)</f>
        <v>0</v>
      </c>
      <c r="P88" s="857">
        <f>IF('Overflow (2)'!O46&lt;2015,'Print Return'!L$45,J88)</f>
        <v>0</v>
      </c>
      <c r="Q88" s="858">
        <f>'Overflow (2)'!$M46</f>
        <v>0</v>
      </c>
      <c r="R88" s="859">
        <f t="shared" si="15"/>
        <v>0</v>
      </c>
      <c r="S88" s="825">
        <f>'Overflow (2)'!G100</f>
        <v>0</v>
      </c>
      <c r="T88" s="826">
        <f t="shared" si="16"/>
        <v>0</v>
      </c>
      <c r="U88" s="860">
        <f>LOOKUP('Overflow (2)'!$C46,Cities!$A$3:$A$356,Cities!$D$3:$D$356)</f>
        <v>0</v>
      </c>
      <c r="V88" s="861">
        <f t="shared" si="17"/>
        <v>0</v>
      </c>
    </row>
    <row r="89" spans="1:22" x14ac:dyDescent="0.2">
      <c r="A89" s="271">
        <f>LOOKUP('Overflow (2)'!$C47,Cities!$A$3:$A$356,Cities!$C$3:$C$356)</f>
        <v>0</v>
      </c>
      <c r="B89" s="959">
        <f>'Print Return'!L$37</f>
        <v>0</v>
      </c>
      <c r="C89" s="858">
        <f>'Overflow (2)'!$M47</f>
        <v>0</v>
      </c>
      <c r="D89" s="859">
        <f t="shared" si="9"/>
        <v>0</v>
      </c>
      <c r="E89" s="825">
        <f>'Overflow (2)'!G101</f>
        <v>0</v>
      </c>
      <c r="F89" s="826">
        <f t="shared" si="10"/>
        <v>0</v>
      </c>
      <c r="G89" s="960">
        <f t="shared" si="11"/>
        <v>0</v>
      </c>
      <c r="H89" s="122">
        <f>'Print Return'!L$41</f>
        <v>0</v>
      </c>
      <c r="I89" s="293">
        <f>IF('Overflow (2)'!O47&lt;2015,MIN(G89,H89)/2,MIN(G89,H89))</f>
        <v>0</v>
      </c>
      <c r="J89" s="960">
        <f t="shared" si="12"/>
        <v>0</v>
      </c>
      <c r="K89" s="293">
        <f t="shared" si="13"/>
        <v>0</v>
      </c>
      <c r="L89" s="860">
        <f>LOOKUP('Overflow (2)'!$C47,Cities!$A$3:$A$356,Cities!$D$3:$D$356)</f>
        <v>0</v>
      </c>
      <c r="M89" s="861">
        <f t="shared" si="14"/>
        <v>0</v>
      </c>
      <c r="O89" s="271">
        <f>LOOKUP('Overflow (2)'!$C47,Cities!$A$3:$A$356,Cities!$C$3:$C$356)</f>
        <v>0</v>
      </c>
      <c r="P89" s="857">
        <f>IF('Overflow (2)'!O47&lt;2015,'Print Return'!L$45,J89)</f>
        <v>0</v>
      </c>
      <c r="Q89" s="858">
        <f>'Overflow (2)'!$M47</f>
        <v>0</v>
      </c>
      <c r="R89" s="859">
        <f t="shared" si="15"/>
        <v>0</v>
      </c>
      <c r="S89" s="825">
        <f>'Overflow (2)'!G101</f>
        <v>0</v>
      </c>
      <c r="T89" s="826">
        <f t="shared" si="16"/>
        <v>0</v>
      </c>
      <c r="U89" s="860">
        <f>LOOKUP('Overflow (2)'!$C47,Cities!$A$3:$A$356,Cities!$D$3:$D$356)</f>
        <v>0</v>
      </c>
      <c r="V89" s="861">
        <f t="shared" si="17"/>
        <v>0</v>
      </c>
    </row>
    <row r="90" spans="1:22" x14ac:dyDescent="0.2">
      <c r="A90" s="271">
        <f>LOOKUP('Overflow (2)'!$C48,Cities!$A$3:$A$356,Cities!$C$3:$C$356)</f>
        <v>0</v>
      </c>
      <c r="B90" s="959">
        <f>'Print Return'!L$37</f>
        <v>0</v>
      </c>
      <c r="C90" s="858">
        <f>'Overflow (2)'!$M48</f>
        <v>0</v>
      </c>
      <c r="D90" s="859">
        <f t="shared" si="9"/>
        <v>0</v>
      </c>
      <c r="E90" s="825">
        <f>'Overflow (2)'!G102</f>
        <v>0</v>
      </c>
      <c r="F90" s="826">
        <f t="shared" si="10"/>
        <v>0</v>
      </c>
      <c r="G90" s="960">
        <f t="shared" si="11"/>
        <v>0</v>
      </c>
      <c r="H90" s="122">
        <f>'Print Return'!L$41</f>
        <v>0</v>
      </c>
      <c r="I90" s="293">
        <f>IF('Overflow (2)'!O48&lt;2015,MIN(G90,H90)/2,MIN(G90,H90))</f>
        <v>0</v>
      </c>
      <c r="J90" s="960">
        <f t="shared" si="12"/>
        <v>0</v>
      </c>
      <c r="K90" s="293">
        <f t="shared" si="13"/>
        <v>0</v>
      </c>
      <c r="L90" s="860">
        <f>LOOKUP('Overflow (2)'!$C48,Cities!$A$3:$A$356,Cities!$D$3:$D$356)</f>
        <v>0</v>
      </c>
      <c r="M90" s="861">
        <f t="shared" si="14"/>
        <v>0</v>
      </c>
      <c r="O90" s="271">
        <f>LOOKUP('Overflow (2)'!$C48,Cities!$A$3:$A$356,Cities!$C$3:$C$356)</f>
        <v>0</v>
      </c>
      <c r="P90" s="857">
        <f>IF('Overflow (2)'!O48&lt;2015,'Print Return'!L$45,J90)</f>
        <v>0</v>
      </c>
      <c r="Q90" s="858">
        <f>'Overflow (2)'!$M48</f>
        <v>0</v>
      </c>
      <c r="R90" s="859">
        <f t="shared" si="15"/>
        <v>0</v>
      </c>
      <c r="S90" s="825">
        <f>'Overflow (2)'!G102</f>
        <v>0</v>
      </c>
      <c r="T90" s="826">
        <f t="shared" si="16"/>
        <v>0</v>
      </c>
      <c r="U90" s="860">
        <f>LOOKUP('Overflow (2)'!$C48,Cities!$A$3:$A$356,Cities!$D$3:$D$356)</f>
        <v>0</v>
      </c>
      <c r="V90" s="861">
        <f t="shared" si="17"/>
        <v>0</v>
      </c>
    </row>
    <row r="91" spans="1:22" x14ac:dyDescent="0.2">
      <c r="A91" s="271">
        <f>LOOKUP('Overflow (2)'!$C49,Cities!$A$3:$A$356,Cities!$C$3:$C$356)</f>
        <v>0</v>
      </c>
      <c r="B91" s="959">
        <f>'Print Return'!L$37</f>
        <v>0</v>
      </c>
      <c r="C91" s="858">
        <f>'Overflow (2)'!$M49</f>
        <v>0</v>
      </c>
      <c r="D91" s="859">
        <f t="shared" si="9"/>
        <v>0</v>
      </c>
      <c r="E91" s="825">
        <f>'Overflow (2)'!G103</f>
        <v>0</v>
      </c>
      <c r="F91" s="826">
        <f t="shared" si="10"/>
        <v>0</v>
      </c>
      <c r="G91" s="960">
        <f t="shared" si="11"/>
        <v>0</v>
      </c>
      <c r="H91" s="122">
        <f>'Print Return'!L$41</f>
        <v>0</v>
      </c>
      <c r="I91" s="293">
        <f>IF('Overflow (2)'!O49&lt;2015,MIN(G91,H91)/2,MIN(G91,H91))</f>
        <v>0</v>
      </c>
      <c r="J91" s="960">
        <f t="shared" si="12"/>
        <v>0</v>
      </c>
      <c r="K91" s="293">
        <f t="shared" si="13"/>
        <v>0</v>
      </c>
      <c r="L91" s="860">
        <f>LOOKUP('Overflow (2)'!$C49,Cities!$A$3:$A$356,Cities!$D$3:$D$356)</f>
        <v>0</v>
      </c>
      <c r="M91" s="861">
        <f t="shared" si="14"/>
        <v>0</v>
      </c>
      <c r="O91" s="271">
        <f>LOOKUP('Overflow (2)'!$C49,Cities!$A$3:$A$356,Cities!$C$3:$C$356)</f>
        <v>0</v>
      </c>
      <c r="P91" s="857">
        <f>IF('Overflow (2)'!O49&lt;2015,'Print Return'!L$45,J91)</f>
        <v>0</v>
      </c>
      <c r="Q91" s="858">
        <f>'Overflow (2)'!$M49</f>
        <v>0</v>
      </c>
      <c r="R91" s="859">
        <f t="shared" si="15"/>
        <v>0</v>
      </c>
      <c r="S91" s="825">
        <f>'Overflow (2)'!G103</f>
        <v>0</v>
      </c>
      <c r="T91" s="826">
        <f t="shared" si="16"/>
        <v>0</v>
      </c>
      <c r="U91" s="860">
        <f>LOOKUP('Overflow (2)'!$C49,Cities!$A$3:$A$356,Cities!$D$3:$D$356)</f>
        <v>0</v>
      </c>
      <c r="V91" s="861">
        <f t="shared" si="17"/>
        <v>0</v>
      </c>
    </row>
    <row r="92" spans="1:22" x14ac:dyDescent="0.2">
      <c r="A92" s="271">
        <f>LOOKUP('Overflow (2)'!$C50,Cities!$A$3:$A$356,Cities!$C$3:$C$356)</f>
        <v>0</v>
      </c>
      <c r="B92" s="959">
        <f>'Print Return'!L$37</f>
        <v>0</v>
      </c>
      <c r="C92" s="858">
        <f>'Overflow (2)'!$M50</f>
        <v>0</v>
      </c>
      <c r="D92" s="859">
        <f t="shared" si="9"/>
        <v>0</v>
      </c>
      <c r="E92" s="825">
        <f>'Overflow (2)'!G104</f>
        <v>0</v>
      </c>
      <c r="F92" s="826">
        <f t="shared" si="10"/>
        <v>0</v>
      </c>
      <c r="G92" s="960">
        <f t="shared" si="11"/>
        <v>0</v>
      </c>
      <c r="H92" s="122">
        <f>'Print Return'!L$41</f>
        <v>0</v>
      </c>
      <c r="I92" s="293">
        <f>IF('Overflow (2)'!O50&lt;2015,MIN(G92,H92)/2,MIN(G92,H92))</f>
        <v>0</v>
      </c>
      <c r="J92" s="960">
        <f t="shared" si="12"/>
        <v>0</v>
      </c>
      <c r="K92" s="293">
        <f t="shared" si="13"/>
        <v>0</v>
      </c>
      <c r="L92" s="860">
        <f>LOOKUP('Overflow (2)'!$C50,Cities!$A$3:$A$356,Cities!$D$3:$D$356)</f>
        <v>0</v>
      </c>
      <c r="M92" s="861">
        <f t="shared" si="14"/>
        <v>0</v>
      </c>
      <c r="O92" s="271">
        <f>LOOKUP('Overflow (2)'!$C50,Cities!$A$3:$A$356,Cities!$C$3:$C$356)</f>
        <v>0</v>
      </c>
      <c r="P92" s="857">
        <f>IF('Overflow (2)'!O50&lt;2015,'Print Return'!L$45,J92)</f>
        <v>0</v>
      </c>
      <c r="Q92" s="858">
        <f>'Overflow (2)'!$M50</f>
        <v>0</v>
      </c>
      <c r="R92" s="859">
        <f t="shared" si="15"/>
        <v>0</v>
      </c>
      <c r="S92" s="825">
        <f>'Overflow (2)'!G104</f>
        <v>0</v>
      </c>
      <c r="T92" s="826">
        <f t="shared" si="16"/>
        <v>0</v>
      </c>
      <c r="U92" s="860">
        <f>LOOKUP('Overflow (2)'!$C50,Cities!$A$3:$A$356,Cities!$D$3:$D$356)</f>
        <v>0</v>
      </c>
      <c r="V92" s="861">
        <f t="shared" si="17"/>
        <v>0</v>
      </c>
    </row>
    <row r="93" spans="1:22" x14ac:dyDescent="0.2">
      <c r="A93" s="271">
        <f>LOOKUP('Overflow (2)'!$C51,Cities!$A$3:$A$356,Cities!$C$3:$C$356)</f>
        <v>0</v>
      </c>
      <c r="B93" s="959">
        <f>'Print Return'!L$37</f>
        <v>0</v>
      </c>
      <c r="C93" s="858">
        <f>'Overflow (2)'!$M51</f>
        <v>0</v>
      </c>
      <c r="D93" s="859">
        <f t="shared" si="9"/>
        <v>0</v>
      </c>
      <c r="E93" s="825">
        <f>'Overflow (2)'!G105</f>
        <v>0</v>
      </c>
      <c r="F93" s="826">
        <f t="shared" si="10"/>
        <v>0</v>
      </c>
      <c r="G93" s="960">
        <f t="shared" si="11"/>
        <v>0</v>
      </c>
      <c r="H93" s="122">
        <f>'Print Return'!L$41</f>
        <v>0</v>
      </c>
      <c r="I93" s="293">
        <f>IF('Overflow (2)'!O51&lt;2015,MIN(G93,H93)/2,MIN(G93,H93))</f>
        <v>0</v>
      </c>
      <c r="J93" s="960">
        <f t="shared" si="12"/>
        <v>0</v>
      </c>
      <c r="K93" s="293">
        <f t="shared" si="13"/>
        <v>0</v>
      </c>
      <c r="L93" s="860">
        <f>LOOKUP('Overflow (2)'!$C51,Cities!$A$3:$A$356,Cities!$D$3:$D$356)</f>
        <v>0</v>
      </c>
      <c r="M93" s="861">
        <f t="shared" si="14"/>
        <v>0</v>
      </c>
      <c r="O93" s="271">
        <f>LOOKUP('Overflow (2)'!$C51,Cities!$A$3:$A$356,Cities!$C$3:$C$356)</f>
        <v>0</v>
      </c>
      <c r="P93" s="857">
        <f>IF('Overflow (2)'!O51&lt;2015,'Print Return'!L$45,J93)</f>
        <v>0</v>
      </c>
      <c r="Q93" s="858">
        <f>'Overflow (2)'!$M51</f>
        <v>0</v>
      </c>
      <c r="R93" s="859">
        <f t="shared" si="15"/>
        <v>0</v>
      </c>
      <c r="S93" s="825">
        <f>'Overflow (2)'!G105</f>
        <v>0</v>
      </c>
      <c r="T93" s="826">
        <f t="shared" si="16"/>
        <v>0</v>
      </c>
      <c r="U93" s="860">
        <f>LOOKUP('Overflow (2)'!$C51,Cities!$A$3:$A$356,Cities!$D$3:$D$356)</f>
        <v>0</v>
      </c>
      <c r="V93" s="861">
        <f t="shared" si="17"/>
        <v>0</v>
      </c>
    </row>
    <row r="94" spans="1:22" x14ac:dyDescent="0.2">
      <c r="A94" s="271">
        <f>LOOKUP('Overflow (2)'!$C52,Cities!$A$3:$A$356,Cities!$C$3:$C$356)</f>
        <v>0</v>
      </c>
      <c r="B94" s="959">
        <f>'Print Return'!L$37</f>
        <v>0</v>
      </c>
      <c r="C94" s="858">
        <f>'Overflow (2)'!$M52</f>
        <v>0</v>
      </c>
      <c r="D94" s="859">
        <f t="shared" si="9"/>
        <v>0</v>
      </c>
      <c r="E94" s="825">
        <f>'Overflow (2)'!G106</f>
        <v>0</v>
      </c>
      <c r="F94" s="826">
        <f t="shared" si="10"/>
        <v>0</v>
      </c>
      <c r="G94" s="960">
        <f t="shared" si="11"/>
        <v>0</v>
      </c>
      <c r="H94" s="122">
        <f>'Print Return'!L$41</f>
        <v>0</v>
      </c>
      <c r="I94" s="293">
        <f>IF('Overflow (2)'!O52&lt;2015,MIN(G94,H94)/2,MIN(G94,H94))</f>
        <v>0</v>
      </c>
      <c r="J94" s="960">
        <f t="shared" si="12"/>
        <v>0</v>
      </c>
      <c r="K94" s="293">
        <f t="shared" si="13"/>
        <v>0</v>
      </c>
      <c r="L94" s="860">
        <f>LOOKUP('Overflow (2)'!$C52,Cities!$A$3:$A$356,Cities!$D$3:$D$356)</f>
        <v>0</v>
      </c>
      <c r="M94" s="861">
        <f t="shared" si="14"/>
        <v>0</v>
      </c>
      <c r="O94" s="271">
        <f>LOOKUP('Overflow (2)'!$C52,Cities!$A$3:$A$356,Cities!$C$3:$C$356)</f>
        <v>0</v>
      </c>
      <c r="P94" s="857">
        <f>IF('Overflow (2)'!O52&lt;2015,'Print Return'!L$45,J94)</f>
        <v>0</v>
      </c>
      <c r="Q94" s="858">
        <f>'Overflow (2)'!$M52</f>
        <v>0</v>
      </c>
      <c r="R94" s="859">
        <f t="shared" si="15"/>
        <v>0</v>
      </c>
      <c r="S94" s="825">
        <f>'Overflow (2)'!G106</f>
        <v>0</v>
      </c>
      <c r="T94" s="826">
        <f t="shared" si="16"/>
        <v>0</v>
      </c>
      <c r="U94" s="860">
        <f>LOOKUP('Overflow (2)'!$C52,Cities!$A$3:$A$356,Cities!$D$3:$D$356)</f>
        <v>0</v>
      </c>
      <c r="V94" s="861">
        <f t="shared" si="17"/>
        <v>0</v>
      </c>
    </row>
    <row r="95" spans="1:22" x14ac:dyDescent="0.2">
      <c r="A95" s="271">
        <f>LOOKUP('Overflow (2)'!$C53,Cities!$A$3:$A$356,Cities!$C$3:$C$356)</f>
        <v>0</v>
      </c>
      <c r="B95" s="959">
        <f>'Print Return'!L$37</f>
        <v>0</v>
      </c>
      <c r="C95" s="858">
        <f>'Overflow (2)'!$M53</f>
        <v>0</v>
      </c>
      <c r="D95" s="859">
        <f t="shared" si="9"/>
        <v>0</v>
      </c>
      <c r="E95" s="825">
        <f>'Overflow (2)'!G107</f>
        <v>0</v>
      </c>
      <c r="F95" s="826">
        <f t="shared" si="10"/>
        <v>0</v>
      </c>
      <c r="G95" s="960">
        <f t="shared" si="11"/>
        <v>0</v>
      </c>
      <c r="H95" s="122">
        <f>'Print Return'!L$41</f>
        <v>0</v>
      </c>
      <c r="I95" s="293">
        <f>IF('Overflow (2)'!O53&lt;2015,MIN(G95,H95)/2,MIN(G95,H95))</f>
        <v>0</v>
      </c>
      <c r="J95" s="960">
        <f t="shared" si="12"/>
        <v>0</v>
      </c>
      <c r="K95" s="293">
        <f t="shared" si="13"/>
        <v>0</v>
      </c>
      <c r="L95" s="860">
        <f>LOOKUP('Overflow (2)'!$C53,Cities!$A$3:$A$356,Cities!$D$3:$D$356)</f>
        <v>0</v>
      </c>
      <c r="M95" s="861">
        <f t="shared" si="14"/>
        <v>0</v>
      </c>
      <c r="O95" s="271">
        <f>LOOKUP('Overflow (2)'!$C53,Cities!$A$3:$A$356,Cities!$C$3:$C$356)</f>
        <v>0</v>
      </c>
      <c r="P95" s="857">
        <f>IF('Overflow (2)'!O53&lt;2015,'Print Return'!L$45,J95)</f>
        <v>0</v>
      </c>
      <c r="Q95" s="858">
        <f>'Overflow (2)'!$M53</f>
        <v>0</v>
      </c>
      <c r="R95" s="859">
        <f t="shared" si="15"/>
        <v>0</v>
      </c>
      <c r="S95" s="825">
        <f>'Overflow (2)'!G107</f>
        <v>0</v>
      </c>
      <c r="T95" s="826">
        <f t="shared" si="16"/>
        <v>0</v>
      </c>
      <c r="U95" s="860">
        <f>LOOKUP('Overflow (2)'!$C53,Cities!$A$3:$A$356,Cities!$D$3:$D$356)</f>
        <v>0</v>
      </c>
      <c r="V95" s="861">
        <f t="shared" si="17"/>
        <v>0</v>
      </c>
    </row>
    <row r="96" spans="1:22" x14ac:dyDescent="0.2">
      <c r="A96" s="271">
        <f>LOOKUP('Overflow (2)'!$C54,Cities!$A$3:$A$356,Cities!$C$3:$C$356)</f>
        <v>0</v>
      </c>
      <c r="B96" s="959">
        <f>'Print Return'!L$37</f>
        <v>0</v>
      </c>
      <c r="C96" s="858">
        <f>'Overflow (2)'!$M54</f>
        <v>0</v>
      </c>
      <c r="D96" s="859">
        <f t="shared" si="9"/>
        <v>0</v>
      </c>
      <c r="E96" s="825">
        <f>'Overflow (2)'!G108</f>
        <v>0</v>
      </c>
      <c r="F96" s="826">
        <f t="shared" si="10"/>
        <v>0</v>
      </c>
      <c r="G96" s="960">
        <f t="shared" si="11"/>
        <v>0</v>
      </c>
      <c r="H96" s="122">
        <f>'Print Return'!L$41</f>
        <v>0</v>
      </c>
      <c r="I96" s="293">
        <f>IF('Overflow (2)'!O54&lt;2015,MIN(G96,H96)/2,MIN(G96,H96))</f>
        <v>0</v>
      </c>
      <c r="J96" s="960">
        <f t="shared" si="12"/>
        <v>0</v>
      </c>
      <c r="K96" s="293">
        <f t="shared" si="13"/>
        <v>0</v>
      </c>
      <c r="L96" s="860">
        <f>LOOKUP('Overflow (2)'!$C54,Cities!$A$3:$A$356,Cities!$D$3:$D$356)</f>
        <v>0</v>
      </c>
      <c r="M96" s="861">
        <f t="shared" si="14"/>
        <v>0</v>
      </c>
      <c r="O96" s="271">
        <f>LOOKUP('Overflow (2)'!$C54,Cities!$A$3:$A$356,Cities!$C$3:$C$356)</f>
        <v>0</v>
      </c>
      <c r="P96" s="857">
        <f>IF('Overflow (2)'!O54&lt;2015,'Print Return'!L$45,J96)</f>
        <v>0</v>
      </c>
      <c r="Q96" s="858">
        <f>'Overflow (2)'!$M54</f>
        <v>0</v>
      </c>
      <c r="R96" s="859">
        <f t="shared" si="15"/>
        <v>0</v>
      </c>
      <c r="S96" s="825">
        <f>'Overflow (2)'!G108</f>
        <v>0</v>
      </c>
      <c r="T96" s="826">
        <f t="shared" si="16"/>
        <v>0</v>
      </c>
      <c r="U96" s="860">
        <f>LOOKUP('Overflow (2)'!$C54,Cities!$A$3:$A$356,Cities!$D$3:$D$356)</f>
        <v>0</v>
      </c>
      <c r="V96" s="861">
        <f t="shared" si="17"/>
        <v>0</v>
      </c>
    </row>
    <row r="97" spans="1:25" x14ac:dyDescent="0.2">
      <c r="A97" s="271">
        <f>LOOKUP('Overflow (2)'!$C55,Cities!$A$3:$A$356,Cities!$C$3:$C$356)</f>
        <v>0</v>
      </c>
      <c r="B97" s="959">
        <f>'Print Return'!L$37</f>
        <v>0</v>
      </c>
      <c r="C97" s="858">
        <f>'Overflow (2)'!$M55</f>
        <v>0</v>
      </c>
      <c r="D97" s="859">
        <f t="shared" si="9"/>
        <v>0</v>
      </c>
      <c r="E97" s="825">
        <f>'Overflow (2)'!G109</f>
        <v>0</v>
      </c>
      <c r="F97" s="826">
        <f t="shared" si="10"/>
        <v>0</v>
      </c>
      <c r="G97" s="960">
        <f t="shared" si="11"/>
        <v>0</v>
      </c>
      <c r="H97" s="122">
        <f>'Print Return'!L$41</f>
        <v>0</v>
      </c>
      <c r="I97" s="293">
        <f>IF('Overflow (2)'!O55&lt;2015,MIN(G97,H97)/2,MIN(G97,H97))</f>
        <v>0</v>
      </c>
      <c r="J97" s="960">
        <f t="shared" si="12"/>
        <v>0</v>
      </c>
      <c r="K97" s="293">
        <f t="shared" si="13"/>
        <v>0</v>
      </c>
      <c r="L97" s="860">
        <f>LOOKUP('Overflow (2)'!$C55,Cities!$A$3:$A$356,Cities!$D$3:$D$356)</f>
        <v>0</v>
      </c>
      <c r="M97" s="861">
        <f t="shared" si="14"/>
        <v>0</v>
      </c>
      <c r="O97" s="271">
        <f>LOOKUP('Overflow (2)'!$C55,Cities!$A$3:$A$356,Cities!$C$3:$C$356)</f>
        <v>0</v>
      </c>
      <c r="P97" s="857">
        <f>IF('Overflow (2)'!O55&lt;2015,'Print Return'!L$45,J97)</f>
        <v>0</v>
      </c>
      <c r="Q97" s="858">
        <f>'Overflow (2)'!$M55</f>
        <v>0</v>
      </c>
      <c r="R97" s="859">
        <f t="shared" si="15"/>
        <v>0</v>
      </c>
      <c r="S97" s="825">
        <f>'Overflow (2)'!G109</f>
        <v>0</v>
      </c>
      <c r="T97" s="826">
        <f t="shared" si="16"/>
        <v>0</v>
      </c>
      <c r="U97" s="860">
        <f>LOOKUP('Overflow (2)'!$C55,Cities!$A$3:$A$356,Cities!$D$3:$D$356)</f>
        <v>0</v>
      </c>
      <c r="V97" s="861">
        <f t="shared" si="17"/>
        <v>0</v>
      </c>
    </row>
    <row r="98" spans="1:25" x14ac:dyDescent="0.2">
      <c r="A98" s="271">
        <f>LOOKUP('Overflow (2)'!$C56,Cities!$A$3:$A$356,Cities!$C$3:$C$356)</f>
        <v>0</v>
      </c>
      <c r="B98" s="959">
        <f>'Print Return'!L$37</f>
        <v>0</v>
      </c>
      <c r="C98" s="858">
        <f>'Overflow (2)'!$M56</f>
        <v>0</v>
      </c>
      <c r="D98" s="859">
        <f t="shared" si="9"/>
        <v>0</v>
      </c>
      <c r="E98" s="825">
        <f>'Overflow (2)'!G110</f>
        <v>0</v>
      </c>
      <c r="F98" s="826">
        <f t="shared" si="10"/>
        <v>0</v>
      </c>
      <c r="G98" s="960">
        <f t="shared" si="11"/>
        <v>0</v>
      </c>
      <c r="H98" s="122">
        <f>'Print Return'!L$41</f>
        <v>0</v>
      </c>
      <c r="I98" s="293">
        <f>IF('Overflow (2)'!O56&lt;2015,MIN(G98,H98)/2,MIN(G98,H98))</f>
        <v>0</v>
      </c>
      <c r="J98" s="960">
        <f t="shared" si="12"/>
        <v>0</v>
      </c>
      <c r="K98" s="293">
        <f t="shared" si="13"/>
        <v>0</v>
      </c>
      <c r="L98" s="860">
        <f>LOOKUP('Overflow (2)'!$C56,Cities!$A$3:$A$356,Cities!$D$3:$D$356)</f>
        <v>0</v>
      </c>
      <c r="M98" s="861">
        <f t="shared" si="14"/>
        <v>0</v>
      </c>
      <c r="O98" s="271">
        <f>LOOKUP('Overflow (2)'!$C56,Cities!$A$3:$A$356,Cities!$C$3:$C$356)</f>
        <v>0</v>
      </c>
      <c r="P98" s="857">
        <f>IF('Overflow (2)'!O56&lt;2015,'Print Return'!L$45,J98)</f>
        <v>0</v>
      </c>
      <c r="Q98" s="858">
        <f>'Overflow (2)'!$M56</f>
        <v>0</v>
      </c>
      <c r="R98" s="859">
        <f t="shared" si="15"/>
        <v>0</v>
      </c>
      <c r="S98" s="825">
        <f>'Overflow (2)'!G110</f>
        <v>0</v>
      </c>
      <c r="T98" s="826">
        <f t="shared" si="16"/>
        <v>0</v>
      </c>
      <c r="U98" s="860">
        <f>LOOKUP('Overflow (2)'!$C56,Cities!$A$3:$A$356,Cities!$D$3:$D$356)</f>
        <v>0</v>
      </c>
      <c r="V98" s="861">
        <f t="shared" si="17"/>
        <v>0</v>
      </c>
    </row>
    <row r="99" spans="1:25" x14ac:dyDescent="0.2">
      <c r="A99" s="306"/>
      <c r="B99" s="16"/>
      <c r="C99" s="16"/>
      <c r="D99" s="16"/>
      <c r="E99" s="16"/>
      <c r="F99" s="16"/>
      <c r="G99" s="16"/>
      <c r="H99" s="16"/>
      <c r="I99" s="16"/>
      <c r="J99" s="16"/>
      <c r="K99" s="16"/>
      <c r="L99" s="16"/>
      <c r="M99" s="264"/>
      <c r="O99" s="306"/>
      <c r="P99" s="16"/>
      <c r="Q99" s="16"/>
      <c r="R99" s="16"/>
      <c r="S99" s="16"/>
      <c r="T99" s="16"/>
      <c r="U99" s="16"/>
      <c r="V99" s="264"/>
    </row>
    <row r="100" spans="1:25" ht="13.5" thickBot="1" x14ac:dyDescent="0.25">
      <c r="A100" s="267" t="s">
        <v>1714</v>
      </c>
      <c r="B100" s="862"/>
      <c r="C100" s="920">
        <f>SUM(C54:C98)</f>
        <v>0</v>
      </c>
      <c r="D100" s="862"/>
      <c r="E100" s="863">
        <f>SUM(E54:E98)</f>
        <v>0</v>
      </c>
      <c r="F100" s="862"/>
      <c r="G100" s="862"/>
      <c r="H100" s="862"/>
      <c r="I100" s="862"/>
      <c r="J100" s="862"/>
      <c r="K100" s="865">
        <f>SUM(K54:K98)</f>
        <v>0</v>
      </c>
      <c r="L100" s="862"/>
      <c r="M100" s="864">
        <f>ROUND(SUMIF(M54:M98,"&gt;10"),0)</f>
        <v>0</v>
      </c>
      <c r="N100" s="1"/>
      <c r="O100" s="267"/>
      <c r="P100" s="862"/>
      <c r="Q100" s="892">
        <f>SUM(Q54:Q98)</f>
        <v>0</v>
      </c>
      <c r="R100" s="862"/>
      <c r="S100" s="863">
        <f>SUM(S54:S98)</f>
        <v>0</v>
      </c>
      <c r="T100" s="865">
        <f>SUM(T54:T98)</f>
        <v>0</v>
      </c>
      <c r="U100" s="862"/>
      <c r="V100" s="864">
        <f>ROUND(SUMIF(V54:V98,"&gt; 10"),0)</f>
        <v>0</v>
      </c>
    </row>
    <row r="101" spans="1:25" ht="18.75" thickBot="1" x14ac:dyDescent="0.3">
      <c r="A101" s="923" t="s">
        <v>1752</v>
      </c>
      <c r="B101" s="253"/>
      <c r="C101" s="253"/>
      <c r="D101" s="253"/>
      <c r="E101" s="253"/>
      <c r="F101" s="253"/>
      <c r="G101" s="253"/>
      <c r="H101" s="253"/>
      <c r="I101" s="253"/>
      <c r="J101" s="253"/>
      <c r="K101" s="253"/>
      <c r="L101" s="253"/>
      <c r="M101" s="253"/>
      <c r="N101" s="16"/>
      <c r="O101" s="923" t="s">
        <v>1753</v>
      </c>
      <c r="P101" s="253"/>
      <c r="Q101" s="253"/>
      <c r="R101" s="253"/>
      <c r="S101" s="253"/>
      <c r="T101" s="253"/>
      <c r="U101" s="253"/>
      <c r="V101" s="253"/>
      <c r="W101" s="16"/>
      <c r="X101" s="16"/>
      <c r="Y101" s="16"/>
    </row>
    <row r="102" spans="1:25" ht="17.25" customHeight="1" x14ac:dyDescent="0.2">
      <c r="A102" s="1572" t="s">
        <v>166</v>
      </c>
      <c r="B102" s="1568" t="s">
        <v>1720</v>
      </c>
      <c r="C102" s="1568" t="s">
        <v>1746</v>
      </c>
      <c r="D102" s="1568" t="s">
        <v>1722</v>
      </c>
      <c r="E102" s="1568" t="s">
        <v>1723</v>
      </c>
      <c r="F102" s="1568" t="s">
        <v>1724</v>
      </c>
      <c r="G102" s="1568" t="s">
        <v>1725</v>
      </c>
      <c r="H102" s="1568" t="s">
        <v>1726</v>
      </c>
      <c r="I102" s="1568" t="s">
        <v>1727</v>
      </c>
      <c r="J102" s="1568" t="s">
        <v>1728</v>
      </c>
      <c r="K102" s="1568" t="s">
        <v>1729</v>
      </c>
      <c r="L102" s="1568" t="s">
        <v>1730</v>
      </c>
      <c r="M102" s="1570" t="s">
        <v>1731</v>
      </c>
      <c r="N102" s="922"/>
      <c r="O102" s="1572" t="s">
        <v>166</v>
      </c>
      <c r="P102" s="1568" t="s">
        <v>1747</v>
      </c>
      <c r="Q102" s="1568" t="s">
        <v>1736</v>
      </c>
      <c r="R102" s="1568" t="s">
        <v>1741</v>
      </c>
      <c r="S102" s="1568" t="s">
        <v>1699</v>
      </c>
      <c r="T102" s="1568" t="s">
        <v>1700</v>
      </c>
      <c r="U102" s="1568" t="s">
        <v>1742</v>
      </c>
      <c r="V102" s="1570" t="s">
        <v>1743</v>
      </c>
    </row>
    <row r="103" spans="1:25" ht="54" customHeight="1" thickBot="1" x14ac:dyDescent="0.25">
      <c r="A103" s="1573"/>
      <c r="B103" s="1569"/>
      <c r="C103" s="1569"/>
      <c r="D103" s="1569"/>
      <c r="E103" s="1569"/>
      <c r="F103" s="1569"/>
      <c r="G103" s="1569"/>
      <c r="H103" s="1569"/>
      <c r="I103" s="1569"/>
      <c r="J103" s="1569"/>
      <c r="K103" s="1569"/>
      <c r="L103" s="1569"/>
      <c r="M103" s="1571"/>
      <c r="N103" s="922"/>
      <c r="O103" s="1573"/>
      <c r="P103" s="1569"/>
      <c r="Q103" s="1569"/>
      <c r="R103" s="1569"/>
      <c r="S103" s="1569"/>
      <c r="T103" s="1569"/>
      <c r="U103" s="1569"/>
      <c r="V103" s="1571"/>
    </row>
    <row r="104" spans="1:25" x14ac:dyDescent="0.2">
      <c r="A104" s="271">
        <f>LOOKUP('Overflow (3)'!$C12,Cities!$A$3:$A$356,Cities!$C$3:$C$356)</f>
        <v>0</v>
      </c>
      <c r="B104" s="959">
        <f>'Print Return'!L$37</f>
        <v>0</v>
      </c>
      <c r="C104" s="858">
        <f>'Overflow (3)'!$M12</f>
        <v>0</v>
      </c>
      <c r="D104" s="859">
        <f t="shared" ref="D104:D148" si="18">B104*IF(ISNUMBER(C104)=TRUE,C104,0)</f>
        <v>0</v>
      </c>
      <c r="E104" s="825">
        <f>'Overflow (3)'!G66</f>
        <v>0</v>
      </c>
      <c r="F104" s="826">
        <f>D104-E104</f>
        <v>0</v>
      </c>
      <c r="G104" s="960">
        <f>IF(C104&gt;0,F104 / C104,0)</f>
        <v>0</v>
      </c>
      <c r="H104" s="122">
        <f>'Print Return'!L$41</f>
        <v>0</v>
      </c>
      <c r="I104" s="293">
        <f>IF('Overflow (3)'!O12&lt;2015,MIN(G104,H104)/2,MIN(G104,H104))</f>
        <v>0</v>
      </c>
      <c r="J104" s="960">
        <f>IF(G104-I104&gt;0,G104-I104,0)</f>
        <v>0</v>
      </c>
      <c r="K104" s="293">
        <f>J104*IF(C104&gt;0,C104,0)</f>
        <v>0</v>
      </c>
      <c r="L104" s="860">
        <f>LOOKUP('Overflow (3)'!$C12,Cities!$A$3:$A$356,Cities!$D$3:$D$356)</f>
        <v>0</v>
      </c>
      <c r="M104" s="861">
        <f>K104*L104</f>
        <v>0</v>
      </c>
      <c r="N104" s="1"/>
      <c r="O104" s="271">
        <f>LOOKUP('Overflow (3)'!$C12,Cities!$A$3:$A$356,Cities!$C$3:$C$356)</f>
        <v>0</v>
      </c>
      <c r="P104" s="857">
        <f>IF('Overflow (3)'!O12&lt;2015,'Print Return'!L$45,J104)</f>
        <v>0</v>
      </c>
      <c r="Q104" s="858">
        <f>'Overflow (3)'!$M12</f>
        <v>0</v>
      </c>
      <c r="R104" s="859">
        <f>P104*IF(Q104&gt;0,Q104,0)</f>
        <v>0</v>
      </c>
      <c r="S104" s="825">
        <f>'Overflow (3)'!G66</f>
        <v>0</v>
      </c>
      <c r="T104" s="826">
        <f>IF(P104&gt;0,R104-S104,0)</f>
        <v>0</v>
      </c>
      <c r="U104" s="860">
        <f>LOOKUP('Overflow (3)'!$C12,Cities!$A$3:$A$356,Cities!$D$3:$D$356)</f>
        <v>0</v>
      </c>
      <c r="V104" s="861">
        <f>T104*U104</f>
        <v>0</v>
      </c>
    </row>
    <row r="105" spans="1:25" x14ac:dyDescent="0.2">
      <c r="A105" s="271">
        <f>LOOKUP('Overflow (3)'!$C13,Cities!$A$3:$A$356,Cities!$C$3:$C$356)</f>
        <v>0</v>
      </c>
      <c r="B105" s="959">
        <f>'Print Return'!L$37</f>
        <v>0</v>
      </c>
      <c r="C105" s="858">
        <f>'Overflow (3)'!$M13</f>
        <v>0</v>
      </c>
      <c r="D105" s="859">
        <f t="shared" si="18"/>
        <v>0</v>
      </c>
      <c r="E105" s="825">
        <f>'Overflow (3)'!G67</f>
        <v>0</v>
      </c>
      <c r="F105" s="826">
        <f t="shared" ref="F105:F148" si="19">D105-E105</f>
        <v>0</v>
      </c>
      <c r="G105" s="960">
        <f t="shared" ref="G105:G148" si="20">IF(C105&gt;0,F105 / C105,0)</f>
        <v>0</v>
      </c>
      <c r="H105" s="122">
        <f>'Print Return'!L$41</f>
        <v>0</v>
      </c>
      <c r="I105" s="293">
        <f>IF('Overflow (3)'!O13&lt;2015,MIN(G105,H105)/2,MIN(G105,H105))</f>
        <v>0</v>
      </c>
      <c r="J105" s="960">
        <f t="shared" ref="J105:J148" si="21">IF(G105-I105&gt;0,G105-I105,0)</f>
        <v>0</v>
      </c>
      <c r="K105" s="293">
        <f t="shared" ref="K105:K148" si="22">J105*IF(C105&gt;0,C105,0)</f>
        <v>0</v>
      </c>
      <c r="L105" s="860">
        <f>LOOKUP('Overflow (3)'!$C13,Cities!$A$3:$A$356,Cities!$D$3:$D$356)</f>
        <v>0</v>
      </c>
      <c r="M105" s="861">
        <f t="shared" ref="M105:M148" si="23">K105*L105</f>
        <v>0</v>
      </c>
      <c r="O105" s="271">
        <f>LOOKUP('Overflow (3)'!$C13,Cities!$A$3:$A$356,Cities!$C$3:$C$356)</f>
        <v>0</v>
      </c>
      <c r="P105" s="857">
        <f>IF('Overflow (3)'!O13&lt;2015,'Print Return'!L$45,J105)</f>
        <v>0</v>
      </c>
      <c r="Q105" s="858">
        <f>'Overflow (3)'!$M13</f>
        <v>0</v>
      </c>
      <c r="R105" s="859">
        <f t="shared" ref="R105:R148" si="24">P105*IF(Q105&gt;0,Q105,0)</f>
        <v>0</v>
      </c>
      <c r="S105" s="825">
        <f>'Overflow (3)'!G67</f>
        <v>0</v>
      </c>
      <c r="T105" s="826">
        <f t="shared" ref="T105:T148" si="25">IF(P105&gt;0,R105-S105,0)</f>
        <v>0</v>
      </c>
      <c r="U105" s="860">
        <f>LOOKUP('Overflow (3)'!$C13,Cities!$A$3:$A$356,Cities!$D$3:$D$356)</f>
        <v>0</v>
      </c>
      <c r="V105" s="861">
        <f t="shared" ref="V105:V148" si="26">T105*U105</f>
        <v>0</v>
      </c>
    </row>
    <row r="106" spans="1:25" x14ac:dyDescent="0.2">
      <c r="A106" s="271">
        <f>LOOKUP('Overflow (3)'!$C14,Cities!$A$3:$A$356,Cities!$C$3:$C$356)</f>
        <v>0</v>
      </c>
      <c r="B106" s="959">
        <f>'Print Return'!L$37</f>
        <v>0</v>
      </c>
      <c r="C106" s="858">
        <f>'Overflow (3)'!$M14</f>
        <v>0</v>
      </c>
      <c r="D106" s="859">
        <f t="shared" si="18"/>
        <v>0</v>
      </c>
      <c r="E106" s="825">
        <f>'Overflow (3)'!G68</f>
        <v>0</v>
      </c>
      <c r="F106" s="826">
        <f t="shared" si="19"/>
        <v>0</v>
      </c>
      <c r="G106" s="960">
        <f t="shared" si="20"/>
        <v>0</v>
      </c>
      <c r="H106" s="122">
        <f>'Print Return'!L$41</f>
        <v>0</v>
      </c>
      <c r="I106" s="293">
        <f>IF('Overflow (3)'!O14&lt;2015,MIN(G106,H106)/2,MIN(G106,H106))</f>
        <v>0</v>
      </c>
      <c r="J106" s="960">
        <f t="shared" si="21"/>
        <v>0</v>
      </c>
      <c r="K106" s="293">
        <f t="shared" si="22"/>
        <v>0</v>
      </c>
      <c r="L106" s="860">
        <f>LOOKUP('Overflow (3)'!$C14,Cities!$A$3:$A$356,Cities!$D$3:$D$356)</f>
        <v>0</v>
      </c>
      <c r="M106" s="861">
        <f t="shared" si="23"/>
        <v>0</v>
      </c>
      <c r="O106" s="271">
        <f>LOOKUP('Overflow (3)'!$C14,Cities!$A$3:$A$356,Cities!$C$3:$C$356)</f>
        <v>0</v>
      </c>
      <c r="P106" s="857">
        <f>IF('Overflow (3)'!O14&lt;2015,'Print Return'!L$45,J106)</f>
        <v>0</v>
      </c>
      <c r="Q106" s="858">
        <f>'Overflow (3)'!$M14</f>
        <v>0</v>
      </c>
      <c r="R106" s="859">
        <f t="shared" si="24"/>
        <v>0</v>
      </c>
      <c r="S106" s="825">
        <f>'Overflow (3)'!G68</f>
        <v>0</v>
      </c>
      <c r="T106" s="826">
        <f t="shared" si="25"/>
        <v>0</v>
      </c>
      <c r="U106" s="860">
        <f>LOOKUP('Overflow (3)'!$C14,Cities!$A$3:$A$356,Cities!$D$3:$D$356)</f>
        <v>0</v>
      </c>
      <c r="V106" s="861">
        <f t="shared" si="26"/>
        <v>0</v>
      </c>
    </row>
    <row r="107" spans="1:25" x14ac:dyDescent="0.2">
      <c r="A107" s="271">
        <f>LOOKUP('Overflow (3)'!$C15,Cities!$A$3:$A$356,Cities!$C$3:$C$356)</f>
        <v>0</v>
      </c>
      <c r="B107" s="959">
        <f>'Print Return'!L$37</f>
        <v>0</v>
      </c>
      <c r="C107" s="858">
        <f>'Overflow (3)'!$M15</f>
        <v>0</v>
      </c>
      <c r="D107" s="859">
        <f t="shared" si="18"/>
        <v>0</v>
      </c>
      <c r="E107" s="825">
        <f>'Overflow (3)'!G69</f>
        <v>0</v>
      </c>
      <c r="F107" s="826">
        <f t="shared" si="19"/>
        <v>0</v>
      </c>
      <c r="G107" s="960">
        <f t="shared" si="20"/>
        <v>0</v>
      </c>
      <c r="H107" s="122">
        <f>'Print Return'!L$41</f>
        <v>0</v>
      </c>
      <c r="I107" s="293">
        <f>IF('Overflow (3)'!O15&lt;2015,MIN(G107,H107)/2,MIN(G107,H107))</f>
        <v>0</v>
      </c>
      <c r="J107" s="960">
        <f t="shared" si="21"/>
        <v>0</v>
      </c>
      <c r="K107" s="293">
        <f t="shared" si="22"/>
        <v>0</v>
      </c>
      <c r="L107" s="860">
        <f>LOOKUP('Overflow (3)'!$C15,Cities!$A$3:$A$356,Cities!$D$3:$D$356)</f>
        <v>0</v>
      </c>
      <c r="M107" s="861">
        <f t="shared" si="23"/>
        <v>0</v>
      </c>
      <c r="O107" s="271">
        <f>LOOKUP('Overflow (3)'!$C15,Cities!$A$3:$A$356,Cities!$C$3:$C$356)</f>
        <v>0</v>
      </c>
      <c r="P107" s="857">
        <f>IF('Overflow (3)'!O15&lt;2015,'Print Return'!L$45,J107)</f>
        <v>0</v>
      </c>
      <c r="Q107" s="858">
        <f>'Overflow (3)'!$M15</f>
        <v>0</v>
      </c>
      <c r="R107" s="859">
        <f t="shared" si="24"/>
        <v>0</v>
      </c>
      <c r="S107" s="825">
        <f>'Overflow (3)'!G69</f>
        <v>0</v>
      </c>
      <c r="T107" s="826">
        <f t="shared" si="25"/>
        <v>0</v>
      </c>
      <c r="U107" s="860">
        <f>LOOKUP('Overflow (3)'!$C15,Cities!$A$3:$A$356,Cities!$D$3:$D$356)</f>
        <v>0</v>
      </c>
      <c r="V107" s="861">
        <f t="shared" si="26"/>
        <v>0</v>
      </c>
    </row>
    <row r="108" spans="1:25" x14ac:dyDescent="0.2">
      <c r="A108" s="271">
        <f>LOOKUP('Overflow (3)'!$C16,Cities!$A$3:$A$356,Cities!$C$3:$C$356)</f>
        <v>0</v>
      </c>
      <c r="B108" s="959">
        <f>'Print Return'!L$37</f>
        <v>0</v>
      </c>
      <c r="C108" s="858">
        <f>'Overflow (3)'!$M16</f>
        <v>0</v>
      </c>
      <c r="D108" s="859">
        <f t="shared" si="18"/>
        <v>0</v>
      </c>
      <c r="E108" s="825">
        <f>'Overflow (3)'!G70</f>
        <v>0</v>
      </c>
      <c r="F108" s="826">
        <f t="shared" si="19"/>
        <v>0</v>
      </c>
      <c r="G108" s="960">
        <f t="shared" si="20"/>
        <v>0</v>
      </c>
      <c r="H108" s="122">
        <f>'Print Return'!L$41</f>
        <v>0</v>
      </c>
      <c r="I108" s="293">
        <f>IF('Overflow (3)'!O16&lt;2015,MIN(G108,H108)/2,MIN(G108,H108))</f>
        <v>0</v>
      </c>
      <c r="J108" s="960">
        <f t="shared" si="21"/>
        <v>0</v>
      </c>
      <c r="K108" s="293">
        <f t="shared" si="22"/>
        <v>0</v>
      </c>
      <c r="L108" s="860">
        <f>LOOKUP('Overflow (3)'!$C16,Cities!$A$3:$A$356,Cities!$D$3:$D$356)</f>
        <v>0</v>
      </c>
      <c r="M108" s="861">
        <f t="shared" si="23"/>
        <v>0</v>
      </c>
      <c r="O108" s="271">
        <f>LOOKUP('Overflow (3)'!$C16,Cities!$A$3:$A$356,Cities!$C$3:$C$356)</f>
        <v>0</v>
      </c>
      <c r="P108" s="857">
        <f>IF('Overflow (3)'!O16&lt;2015,'Print Return'!L$45,J108)</f>
        <v>0</v>
      </c>
      <c r="Q108" s="858">
        <f>'Overflow (3)'!$M16</f>
        <v>0</v>
      </c>
      <c r="R108" s="859">
        <f t="shared" si="24"/>
        <v>0</v>
      </c>
      <c r="S108" s="825">
        <f>'Overflow (3)'!G70</f>
        <v>0</v>
      </c>
      <c r="T108" s="826">
        <f t="shared" si="25"/>
        <v>0</v>
      </c>
      <c r="U108" s="860">
        <f>LOOKUP('Overflow (3)'!$C16,Cities!$A$3:$A$356,Cities!$D$3:$D$356)</f>
        <v>0</v>
      </c>
      <c r="V108" s="861">
        <f t="shared" si="26"/>
        <v>0</v>
      </c>
    </row>
    <row r="109" spans="1:25" x14ac:dyDescent="0.2">
      <c r="A109" s="271">
        <f>LOOKUP('Overflow (3)'!$C17,Cities!$A$3:$A$356,Cities!$C$3:$C$356)</f>
        <v>0</v>
      </c>
      <c r="B109" s="959">
        <f>'Print Return'!L$37</f>
        <v>0</v>
      </c>
      <c r="C109" s="858">
        <f>'Overflow (3)'!$M17</f>
        <v>0</v>
      </c>
      <c r="D109" s="859">
        <f t="shared" si="18"/>
        <v>0</v>
      </c>
      <c r="E109" s="825">
        <f>'Overflow (3)'!G71</f>
        <v>0</v>
      </c>
      <c r="F109" s="826">
        <f t="shared" si="19"/>
        <v>0</v>
      </c>
      <c r="G109" s="960">
        <f t="shared" si="20"/>
        <v>0</v>
      </c>
      <c r="H109" s="122">
        <f>'Print Return'!L$41</f>
        <v>0</v>
      </c>
      <c r="I109" s="293">
        <f>IF('Overflow (3)'!O17&lt;2015,MIN(G109,H109)/2,MIN(G109,H109))</f>
        <v>0</v>
      </c>
      <c r="J109" s="960">
        <f t="shared" si="21"/>
        <v>0</v>
      </c>
      <c r="K109" s="293">
        <f t="shared" si="22"/>
        <v>0</v>
      </c>
      <c r="L109" s="860">
        <f>LOOKUP('Overflow (3)'!$C17,Cities!$A$3:$A$356,Cities!$D$3:$D$356)</f>
        <v>0</v>
      </c>
      <c r="M109" s="861">
        <f t="shared" si="23"/>
        <v>0</v>
      </c>
      <c r="O109" s="271">
        <f>LOOKUP('Overflow (3)'!$C17,Cities!$A$3:$A$356,Cities!$C$3:$C$356)</f>
        <v>0</v>
      </c>
      <c r="P109" s="857">
        <f>IF('Overflow (3)'!O17&lt;2015,'Print Return'!L$45,J109)</f>
        <v>0</v>
      </c>
      <c r="Q109" s="858">
        <f>'Overflow (3)'!$M17</f>
        <v>0</v>
      </c>
      <c r="R109" s="859">
        <f t="shared" si="24"/>
        <v>0</v>
      </c>
      <c r="S109" s="825">
        <f>'Overflow (3)'!G71</f>
        <v>0</v>
      </c>
      <c r="T109" s="826">
        <f t="shared" si="25"/>
        <v>0</v>
      </c>
      <c r="U109" s="860">
        <f>LOOKUP('Overflow (3)'!$C17,Cities!$A$3:$A$356,Cities!$D$3:$D$356)</f>
        <v>0</v>
      </c>
      <c r="V109" s="861">
        <f t="shared" si="26"/>
        <v>0</v>
      </c>
    </row>
    <row r="110" spans="1:25" x14ac:dyDescent="0.2">
      <c r="A110" s="271">
        <f>LOOKUP('Overflow (3)'!$C18,Cities!$A$3:$A$356,Cities!$C$3:$C$356)</f>
        <v>0</v>
      </c>
      <c r="B110" s="959">
        <f>'Print Return'!L$37</f>
        <v>0</v>
      </c>
      <c r="C110" s="858">
        <f>'Overflow (3)'!$M18</f>
        <v>0</v>
      </c>
      <c r="D110" s="859">
        <f t="shared" si="18"/>
        <v>0</v>
      </c>
      <c r="E110" s="825">
        <f>'Overflow (3)'!G72</f>
        <v>0</v>
      </c>
      <c r="F110" s="826">
        <f t="shared" si="19"/>
        <v>0</v>
      </c>
      <c r="G110" s="960">
        <f t="shared" si="20"/>
        <v>0</v>
      </c>
      <c r="H110" s="122">
        <f>'Print Return'!L$41</f>
        <v>0</v>
      </c>
      <c r="I110" s="293">
        <f>IF('Overflow (3)'!O18&lt;2015,MIN(G110,H110)/2,MIN(G110,H110))</f>
        <v>0</v>
      </c>
      <c r="J110" s="960">
        <f t="shared" si="21"/>
        <v>0</v>
      </c>
      <c r="K110" s="293">
        <f t="shared" si="22"/>
        <v>0</v>
      </c>
      <c r="L110" s="860">
        <f>LOOKUP('Overflow (3)'!$C18,Cities!$A$3:$A$356,Cities!$D$3:$D$356)</f>
        <v>0</v>
      </c>
      <c r="M110" s="861">
        <f t="shared" si="23"/>
        <v>0</v>
      </c>
      <c r="O110" s="271">
        <f>LOOKUP('Overflow (3)'!$C18,Cities!$A$3:$A$356,Cities!$C$3:$C$356)</f>
        <v>0</v>
      </c>
      <c r="P110" s="857">
        <f>IF('Overflow (3)'!O18&lt;2015,'Print Return'!L$45,J110)</f>
        <v>0</v>
      </c>
      <c r="Q110" s="858">
        <f>'Overflow (3)'!$M18</f>
        <v>0</v>
      </c>
      <c r="R110" s="859">
        <f t="shared" si="24"/>
        <v>0</v>
      </c>
      <c r="S110" s="825">
        <f>'Overflow (3)'!G72</f>
        <v>0</v>
      </c>
      <c r="T110" s="826">
        <f t="shared" si="25"/>
        <v>0</v>
      </c>
      <c r="U110" s="860">
        <f>LOOKUP('Overflow (3)'!$C18,Cities!$A$3:$A$356,Cities!$D$3:$D$356)</f>
        <v>0</v>
      </c>
      <c r="V110" s="861">
        <f t="shared" si="26"/>
        <v>0</v>
      </c>
    </row>
    <row r="111" spans="1:25" x14ac:dyDescent="0.2">
      <c r="A111" s="271">
        <f>LOOKUP('Overflow (3)'!$C19,Cities!$A$3:$A$356,Cities!$C$3:$C$356)</f>
        <v>0</v>
      </c>
      <c r="B111" s="959">
        <f>'Print Return'!L$37</f>
        <v>0</v>
      </c>
      <c r="C111" s="858">
        <f>'Overflow (3)'!$M19</f>
        <v>0</v>
      </c>
      <c r="D111" s="859">
        <f t="shared" si="18"/>
        <v>0</v>
      </c>
      <c r="E111" s="825">
        <f>'Overflow (3)'!G73</f>
        <v>0</v>
      </c>
      <c r="F111" s="826">
        <f t="shared" si="19"/>
        <v>0</v>
      </c>
      <c r="G111" s="960">
        <f t="shared" si="20"/>
        <v>0</v>
      </c>
      <c r="H111" s="122">
        <f>'Print Return'!L$41</f>
        <v>0</v>
      </c>
      <c r="I111" s="293">
        <f>IF('Overflow (3)'!O19&lt;2015,MIN(G111,H111)/2,MIN(G111,H111))</f>
        <v>0</v>
      </c>
      <c r="J111" s="960">
        <f t="shared" si="21"/>
        <v>0</v>
      </c>
      <c r="K111" s="293">
        <f t="shared" si="22"/>
        <v>0</v>
      </c>
      <c r="L111" s="860">
        <f>LOOKUP('Overflow (3)'!$C19,Cities!$A$3:$A$356,Cities!$D$3:$D$356)</f>
        <v>0</v>
      </c>
      <c r="M111" s="861">
        <f t="shared" si="23"/>
        <v>0</v>
      </c>
      <c r="O111" s="271">
        <f>LOOKUP('Overflow (3)'!$C19,Cities!$A$3:$A$356,Cities!$C$3:$C$356)</f>
        <v>0</v>
      </c>
      <c r="P111" s="857">
        <f>IF('Overflow (3)'!O19&lt;2015,'Print Return'!L$45,J111)</f>
        <v>0</v>
      </c>
      <c r="Q111" s="858">
        <f>'Overflow (3)'!$M19</f>
        <v>0</v>
      </c>
      <c r="R111" s="859">
        <f t="shared" si="24"/>
        <v>0</v>
      </c>
      <c r="S111" s="825">
        <f>'Overflow (3)'!G73</f>
        <v>0</v>
      </c>
      <c r="T111" s="826">
        <f t="shared" si="25"/>
        <v>0</v>
      </c>
      <c r="U111" s="860">
        <f>LOOKUP('Overflow (3)'!$C19,Cities!$A$3:$A$356,Cities!$D$3:$D$356)</f>
        <v>0</v>
      </c>
      <c r="V111" s="861">
        <f t="shared" si="26"/>
        <v>0</v>
      </c>
    </row>
    <row r="112" spans="1:25" x14ac:dyDescent="0.2">
      <c r="A112" s="271">
        <f>LOOKUP('Overflow (3)'!$C20,Cities!$A$3:$A$356,Cities!$C$3:$C$356)</f>
        <v>0</v>
      </c>
      <c r="B112" s="959">
        <f>'Print Return'!L$37</f>
        <v>0</v>
      </c>
      <c r="C112" s="858">
        <f>'Overflow (3)'!$M20</f>
        <v>0</v>
      </c>
      <c r="D112" s="859">
        <f t="shared" si="18"/>
        <v>0</v>
      </c>
      <c r="E112" s="825">
        <f>'Overflow (3)'!G74</f>
        <v>0</v>
      </c>
      <c r="F112" s="826">
        <f t="shared" si="19"/>
        <v>0</v>
      </c>
      <c r="G112" s="960">
        <f t="shared" si="20"/>
        <v>0</v>
      </c>
      <c r="H112" s="122">
        <f>'Print Return'!L$41</f>
        <v>0</v>
      </c>
      <c r="I112" s="293">
        <f>IF('Overflow (3)'!O20&lt;2015,MIN(G112,H112)/2,MIN(G112,H112))</f>
        <v>0</v>
      </c>
      <c r="J112" s="960">
        <f t="shared" si="21"/>
        <v>0</v>
      </c>
      <c r="K112" s="293">
        <f t="shared" si="22"/>
        <v>0</v>
      </c>
      <c r="L112" s="860">
        <f>LOOKUP('Overflow (3)'!$C20,Cities!$A$3:$A$356,Cities!$D$3:$D$356)</f>
        <v>0</v>
      </c>
      <c r="M112" s="861">
        <f t="shared" si="23"/>
        <v>0</v>
      </c>
      <c r="O112" s="271">
        <f>LOOKUP('Overflow (3)'!$C20,Cities!$A$3:$A$356,Cities!$C$3:$C$356)</f>
        <v>0</v>
      </c>
      <c r="P112" s="857">
        <f>IF('Overflow (3)'!O20&lt;2015,'Print Return'!L$45,J112)</f>
        <v>0</v>
      </c>
      <c r="Q112" s="858">
        <f>'Overflow (3)'!$M20</f>
        <v>0</v>
      </c>
      <c r="R112" s="859">
        <f t="shared" si="24"/>
        <v>0</v>
      </c>
      <c r="S112" s="825">
        <f>'Overflow (3)'!G74</f>
        <v>0</v>
      </c>
      <c r="T112" s="826">
        <f t="shared" si="25"/>
        <v>0</v>
      </c>
      <c r="U112" s="860">
        <f>LOOKUP('Overflow (3)'!$C20,Cities!$A$3:$A$356,Cities!$D$3:$D$356)</f>
        <v>0</v>
      </c>
      <c r="V112" s="861">
        <f t="shared" si="26"/>
        <v>0</v>
      </c>
    </row>
    <row r="113" spans="1:22" x14ac:dyDescent="0.2">
      <c r="A113" s="271">
        <f>LOOKUP('Overflow (3)'!$C21,Cities!$A$3:$A$356,Cities!$C$3:$C$356)</f>
        <v>0</v>
      </c>
      <c r="B113" s="959">
        <f>'Print Return'!L$37</f>
        <v>0</v>
      </c>
      <c r="C113" s="858">
        <f>'Overflow (3)'!$M21</f>
        <v>0</v>
      </c>
      <c r="D113" s="859">
        <f t="shared" si="18"/>
        <v>0</v>
      </c>
      <c r="E113" s="825">
        <f>'Overflow (3)'!G75</f>
        <v>0</v>
      </c>
      <c r="F113" s="826">
        <f t="shared" si="19"/>
        <v>0</v>
      </c>
      <c r="G113" s="960">
        <f t="shared" si="20"/>
        <v>0</v>
      </c>
      <c r="H113" s="122">
        <f>'Print Return'!L$41</f>
        <v>0</v>
      </c>
      <c r="I113" s="293">
        <f>IF('Overflow (3)'!O21&lt;2015,MIN(G113,H113)/2,MIN(G113,H113))</f>
        <v>0</v>
      </c>
      <c r="J113" s="960">
        <f t="shared" si="21"/>
        <v>0</v>
      </c>
      <c r="K113" s="293">
        <f t="shared" si="22"/>
        <v>0</v>
      </c>
      <c r="L113" s="860">
        <f>LOOKUP('Overflow (3)'!$C21,Cities!$A$3:$A$356,Cities!$D$3:$D$356)</f>
        <v>0</v>
      </c>
      <c r="M113" s="861">
        <f t="shared" si="23"/>
        <v>0</v>
      </c>
      <c r="O113" s="271">
        <f>LOOKUP('Overflow (3)'!$C21,Cities!$A$3:$A$356,Cities!$C$3:$C$356)</f>
        <v>0</v>
      </c>
      <c r="P113" s="857">
        <f>IF('Overflow (3)'!O21&lt;2015,'Print Return'!L$45,J113)</f>
        <v>0</v>
      </c>
      <c r="Q113" s="858">
        <f>'Overflow (3)'!$M21</f>
        <v>0</v>
      </c>
      <c r="R113" s="859">
        <f t="shared" si="24"/>
        <v>0</v>
      </c>
      <c r="S113" s="825">
        <f>'Overflow (3)'!G75</f>
        <v>0</v>
      </c>
      <c r="T113" s="826">
        <f t="shared" si="25"/>
        <v>0</v>
      </c>
      <c r="U113" s="860">
        <f>LOOKUP('Overflow (3)'!$C21,Cities!$A$3:$A$356,Cities!$D$3:$D$356)</f>
        <v>0</v>
      </c>
      <c r="V113" s="861">
        <f t="shared" si="26"/>
        <v>0</v>
      </c>
    </row>
    <row r="114" spans="1:22" x14ac:dyDescent="0.2">
      <c r="A114" s="271">
        <f>LOOKUP('Overflow (3)'!$C22,Cities!$A$3:$A$356,Cities!$C$3:$C$356)</f>
        <v>0</v>
      </c>
      <c r="B114" s="959">
        <f>'Print Return'!L$37</f>
        <v>0</v>
      </c>
      <c r="C114" s="858">
        <f>'Overflow (3)'!$M22</f>
        <v>0</v>
      </c>
      <c r="D114" s="859">
        <f t="shared" si="18"/>
        <v>0</v>
      </c>
      <c r="E114" s="825">
        <f>'Overflow (3)'!G76</f>
        <v>0</v>
      </c>
      <c r="F114" s="826">
        <f t="shared" si="19"/>
        <v>0</v>
      </c>
      <c r="G114" s="960">
        <f t="shared" si="20"/>
        <v>0</v>
      </c>
      <c r="H114" s="122">
        <f>'Print Return'!L$41</f>
        <v>0</v>
      </c>
      <c r="I114" s="293">
        <f>IF('Overflow (3)'!O22&lt;2015,MIN(G114,H114)/2,MIN(G114,H114))</f>
        <v>0</v>
      </c>
      <c r="J114" s="960">
        <f t="shared" si="21"/>
        <v>0</v>
      </c>
      <c r="K114" s="293">
        <f t="shared" si="22"/>
        <v>0</v>
      </c>
      <c r="L114" s="860">
        <f>LOOKUP('Overflow (3)'!$C22,Cities!$A$3:$A$356,Cities!$D$3:$D$356)</f>
        <v>0</v>
      </c>
      <c r="M114" s="861">
        <f t="shared" si="23"/>
        <v>0</v>
      </c>
      <c r="O114" s="271">
        <f>LOOKUP('Overflow (3)'!$C22,Cities!$A$3:$A$356,Cities!$C$3:$C$356)</f>
        <v>0</v>
      </c>
      <c r="P114" s="857">
        <f>IF('Overflow (3)'!O22&lt;2015,'Print Return'!L$45,J114)</f>
        <v>0</v>
      </c>
      <c r="Q114" s="858">
        <f>'Overflow (3)'!$M22</f>
        <v>0</v>
      </c>
      <c r="R114" s="859">
        <f t="shared" si="24"/>
        <v>0</v>
      </c>
      <c r="S114" s="825">
        <f>'Overflow (3)'!G76</f>
        <v>0</v>
      </c>
      <c r="T114" s="826">
        <f t="shared" si="25"/>
        <v>0</v>
      </c>
      <c r="U114" s="860">
        <f>LOOKUP('Overflow (3)'!$C22,Cities!$A$3:$A$356,Cities!$D$3:$D$356)</f>
        <v>0</v>
      </c>
      <c r="V114" s="861">
        <f t="shared" si="26"/>
        <v>0</v>
      </c>
    </row>
    <row r="115" spans="1:22" x14ac:dyDescent="0.2">
      <c r="A115" s="271">
        <f>LOOKUP('Overflow (3)'!$C23,Cities!$A$3:$A$356,Cities!$C$3:$C$356)</f>
        <v>0</v>
      </c>
      <c r="B115" s="959">
        <f>'Print Return'!L$37</f>
        <v>0</v>
      </c>
      <c r="C115" s="858">
        <f>'Overflow (3)'!$M23</f>
        <v>0</v>
      </c>
      <c r="D115" s="859">
        <f t="shared" si="18"/>
        <v>0</v>
      </c>
      <c r="E115" s="825">
        <f>'Overflow (3)'!G77</f>
        <v>0</v>
      </c>
      <c r="F115" s="826">
        <f t="shared" si="19"/>
        <v>0</v>
      </c>
      <c r="G115" s="960">
        <f t="shared" si="20"/>
        <v>0</v>
      </c>
      <c r="H115" s="122">
        <f>'Print Return'!L$41</f>
        <v>0</v>
      </c>
      <c r="I115" s="293">
        <f>IF('Overflow (3)'!O23&lt;2015,MIN(G115,H115)/2,MIN(G115,H115))</f>
        <v>0</v>
      </c>
      <c r="J115" s="960">
        <f t="shared" si="21"/>
        <v>0</v>
      </c>
      <c r="K115" s="293">
        <f t="shared" si="22"/>
        <v>0</v>
      </c>
      <c r="L115" s="860">
        <f>LOOKUP('Overflow (3)'!$C23,Cities!$A$3:$A$356,Cities!$D$3:$D$356)</f>
        <v>0</v>
      </c>
      <c r="M115" s="861">
        <f t="shared" si="23"/>
        <v>0</v>
      </c>
      <c r="O115" s="271">
        <f>LOOKUP('Overflow (3)'!$C23,Cities!$A$3:$A$356,Cities!$C$3:$C$356)</f>
        <v>0</v>
      </c>
      <c r="P115" s="857">
        <f>IF('Overflow (3)'!O23&lt;2015,'Print Return'!L$45,J115)</f>
        <v>0</v>
      </c>
      <c r="Q115" s="858">
        <f>'Overflow (3)'!$M23</f>
        <v>0</v>
      </c>
      <c r="R115" s="859">
        <f t="shared" si="24"/>
        <v>0</v>
      </c>
      <c r="S115" s="825">
        <f>'Overflow (3)'!G77</f>
        <v>0</v>
      </c>
      <c r="T115" s="826">
        <f t="shared" si="25"/>
        <v>0</v>
      </c>
      <c r="U115" s="860">
        <f>LOOKUP('Overflow (3)'!$C23,Cities!$A$3:$A$356,Cities!$D$3:$D$356)</f>
        <v>0</v>
      </c>
      <c r="V115" s="861">
        <f t="shared" si="26"/>
        <v>0</v>
      </c>
    </row>
    <row r="116" spans="1:22" x14ac:dyDescent="0.2">
      <c r="A116" s="271">
        <f>LOOKUP('Overflow (3)'!$C24,Cities!$A$3:$A$356,Cities!$C$3:$C$356)</f>
        <v>0</v>
      </c>
      <c r="B116" s="959">
        <f>'Print Return'!L$37</f>
        <v>0</v>
      </c>
      <c r="C116" s="858">
        <f>'Overflow (3)'!$M24</f>
        <v>0</v>
      </c>
      <c r="D116" s="859">
        <f t="shared" si="18"/>
        <v>0</v>
      </c>
      <c r="E116" s="825">
        <f>'Overflow (3)'!G78</f>
        <v>0</v>
      </c>
      <c r="F116" s="826">
        <f t="shared" si="19"/>
        <v>0</v>
      </c>
      <c r="G116" s="960">
        <f t="shared" si="20"/>
        <v>0</v>
      </c>
      <c r="H116" s="122">
        <f>'Print Return'!L$41</f>
        <v>0</v>
      </c>
      <c r="I116" s="293">
        <f>IF('Overflow (3)'!O24&lt;2015,MIN(G116,H116)/2,MIN(G116,H116))</f>
        <v>0</v>
      </c>
      <c r="J116" s="960">
        <f t="shared" si="21"/>
        <v>0</v>
      </c>
      <c r="K116" s="293">
        <f t="shared" si="22"/>
        <v>0</v>
      </c>
      <c r="L116" s="860">
        <f>LOOKUP('Overflow (3)'!$C24,Cities!$A$3:$A$356,Cities!$D$3:$D$356)</f>
        <v>0</v>
      </c>
      <c r="M116" s="861">
        <f t="shared" si="23"/>
        <v>0</v>
      </c>
      <c r="O116" s="271">
        <f>LOOKUP('Overflow (3)'!$C24,Cities!$A$3:$A$356,Cities!$C$3:$C$356)</f>
        <v>0</v>
      </c>
      <c r="P116" s="857">
        <f>IF('Overflow (3)'!O24&lt;2015,'Print Return'!L$45,J116)</f>
        <v>0</v>
      </c>
      <c r="Q116" s="858">
        <f>'Overflow (3)'!$M24</f>
        <v>0</v>
      </c>
      <c r="R116" s="859">
        <f t="shared" si="24"/>
        <v>0</v>
      </c>
      <c r="S116" s="825">
        <f>'Overflow (3)'!G78</f>
        <v>0</v>
      </c>
      <c r="T116" s="826">
        <f t="shared" si="25"/>
        <v>0</v>
      </c>
      <c r="U116" s="860">
        <f>LOOKUP('Overflow (3)'!$C24,Cities!$A$3:$A$356,Cities!$D$3:$D$356)</f>
        <v>0</v>
      </c>
      <c r="V116" s="861">
        <f t="shared" si="26"/>
        <v>0</v>
      </c>
    </row>
    <row r="117" spans="1:22" x14ac:dyDescent="0.2">
      <c r="A117" s="271">
        <f>LOOKUP('Overflow (3)'!$C25,Cities!$A$3:$A$356,Cities!$C$3:$C$356)</f>
        <v>0</v>
      </c>
      <c r="B117" s="959">
        <f>'Print Return'!L$37</f>
        <v>0</v>
      </c>
      <c r="C117" s="858">
        <f>'Overflow (3)'!$M25</f>
        <v>0</v>
      </c>
      <c r="D117" s="859">
        <f t="shared" si="18"/>
        <v>0</v>
      </c>
      <c r="E117" s="825">
        <f>'Overflow (3)'!G79</f>
        <v>0</v>
      </c>
      <c r="F117" s="826">
        <f t="shared" si="19"/>
        <v>0</v>
      </c>
      <c r="G117" s="960">
        <f t="shared" si="20"/>
        <v>0</v>
      </c>
      <c r="H117" s="122">
        <f>'Print Return'!L$41</f>
        <v>0</v>
      </c>
      <c r="I117" s="293">
        <f>IF('Overflow (3)'!O25&lt;2015,MIN(G117,H117)/2,MIN(G117,H117))</f>
        <v>0</v>
      </c>
      <c r="J117" s="960">
        <f t="shared" si="21"/>
        <v>0</v>
      </c>
      <c r="K117" s="293">
        <f t="shared" si="22"/>
        <v>0</v>
      </c>
      <c r="L117" s="860">
        <f>LOOKUP('Overflow (3)'!$C25,Cities!$A$3:$A$356,Cities!$D$3:$D$356)</f>
        <v>0</v>
      </c>
      <c r="M117" s="861">
        <f t="shared" si="23"/>
        <v>0</v>
      </c>
      <c r="O117" s="271">
        <f>LOOKUP('Overflow (3)'!$C25,Cities!$A$3:$A$356,Cities!$C$3:$C$356)</f>
        <v>0</v>
      </c>
      <c r="P117" s="857">
        <f>IF('Overflow (3)'!O25&lt;2015,'Print Return'!L$45,J117)</f>
        <v>0</v>
      </c>
      <c r="Q117" s="858">
        <f>'Overflow (3)'!$M25</f>
        <v>0</v>
      </c>
      <c r="R117" s="859">
        <f t="shared" si="24"/>
        <v>0</v>
      </c>
      <c r="S117" s="825">
        <f>'Overflow (3)'!G79</f>
        <v>0</v>
      </c>
      <c r="T117" s="826">
        <f t="shared" si="25"/>
        <v>0</v>
      </c>
      <c r="U117" s="860">
        <f>LOOKUP('Overflow (3)'!$C25,Cities!$A$3:$A$356,Cities!$D$3:$D$356)</f>
        <v>0</v>
      </c>
      <c r="V117" s="861">
        <f t="shared" si="26"/>
        <v>0</v>
      </c>
    </row>
    <row r="118" spans="1:22" x14ac:dyDescent="0.2">
      <c r="A118" s="271">
        <f>LOOKUP('Overflow (3)'!$C26,Cities!$A$3:$A$356,Cities!$C$3:$C$356)</f>
        <v>0</v>
      </c>
      <c r="B118" s="959">
        <f>'Print Return'!L$37</f>
        <v>0</v>
      </c>
      <c r="C118" s="858">
        <f>'Overflow (3)'!$M26</f>
        <v>0</v>
      </c>
      <c r="D118" s="859">
        <f t="shared" si="18"/>
        <v>0</v>
      </c>
      <c r="E118" s="825">
        <f>'Overflow (3)'!G80</f>
        <v>0</v>
      </c>
      <c r="F118" s="826">
        <f t="shared" si="19"/>
        <v>0</v>
      </c>
      <c r="G118" s="960">
        <f t="shared" si="20"/>
        <v>0</v>
      </c>
      <c r="H118" s="122">
        <f>'Print Return'!L$41</f>
        <v>0</v>
      </c>
      <c r="I118" s="293">
        <f>IF('Overflow (3)'!O26&lt;2015,MIN(G118,H118)/2,MIN(G118,H118))</f>
        <v>0</v>
      </c>
      <c r="J118" s="960">
        <f t="shared" si="21"/>
        <v>0</v>
      </c>
      <c r="K118" s="293">
        <f t="shared" si="22"/>
        <v>0</v>
      </c>
      <c r="L118" s="860">
        <f>LOOKUP('Overflow (3)'!$C26,Cities!$A$3:$A$356,Cities!$D$3:$D$356)</f>
        <v>0</v>
      </c>
      <c r="M118" s="861">
        <f t="shared" si="23"/>
        <v>0</v>
      </c>
      <c r="O118" s="271">
        <f>LOOKUP('Overflow (3)'!$C26,Cities!$A$3:$A$356,Cities!$C$3:$C$356)</f>
        <v>0</v>
      </c>
      <c r="P118" s="857">
        <f>IF('Overflow (3)'!O26&lt;2015,'Print Return'!L$45,J118)</f>
        <v>0</v>
      </c>
      <c r="Q118" s="858">
        <f>'Overflow (3)'!$M26</f>
        <v>0</v>
      </c>
      <c r="R118" s="859">
        <f t="shared" si="24"/>
        <v>0</v>
      </c>
      <c r="S118" s="825">
        <f>'Overflow (3)'!G80</f>
        <v>0</v>
      </c>
      <c r="T118" s="826">
        <f t="shared" si="25"/>
        <v>0</v>
      </c>
      <c r="U118" s="860">
        <f>LOOKUP('Overflow (3)'!$C26,Cities!$A$3:$A$356,Cities!$D$3:$D$356)</f>
        <v>0</v>
      </c>
      <c r="V118" s="861">
        <f t="shared" si="26"/>
        <v>0</v>
      </c>
    </row>
    <row r="119" spans="1:22" x14ac:dyDescent="0.2">
      <c r="A119" s="271">
        <f>LOOKUP('Overflow (3)'!$C27,Cities!$A$3:$A$356,Cities!$C$3:$C$356)</f>
        <v>0</v>
      </c>
      <c r="B119" s="959">
        <f>'Print Return'!L$37</f>
        <v>0</v>
      </c>
      <c r="C119" s="858">
        <f>'Overflow (3)'!$M27</f>
        <v>0</v>
      </c>
      <c r="D119" s="859">
        <f t="shared" si="18"/>
        <v>0</v>
      </c>
      <c r="E119" s="825">
        <f>'Overflow (3)'!G81</f>
        <v>0</v>
      </c>
      <c r="F119" s="826">
        <f t="shared" si="19"/>
        <v>0</v>
      </c>
      <c r="G119" s="960">
        <f t="shared" si="20"/>
        <v>0</v>
      </c>
      <c r="H119" s="122">
        <f>'Print Return'!L$41</f>
        <v>0</v>
      </c>
      <c r="I119" s="293">
        <f>IF('Overflow (3)'!O27&lt;2015,MIN(G119,H119)/2,MIN(G119,H119))</f>
        <v>0</v>
      </c>
      <c r="J119" s="960">
        <f t="shared" si="21"/>
        <v>0</v>
      </c>
      <c r="K119" s="293">
        <f t="shared" si="22"/>
        <v>0</v>
      </c>
      <c r="L119" s="860">
        <f>LOOKUP('Overflow (3)'!$C27,Cities!$A$3:$A$356,Cities!$D$3:$D$356)</f>
        <v>0</v>
      </c>
      <c r="M119" s="861">
        <f t="shared" si="23"/>
        <v>0</v>
      </c>
      <c r="O119" s="271">
        <f>LOOKUP('Overflow (3)'!$C27,Cities!$A$3:$A$356,Cities!$C$3:$C$356)</f>
        <v>0</v>
      </c>
      <c r="P119" s="857">
        <f>IF('Overflow (3)'!O27&lt;2015,'Print Return'!L$45,J119)</f>
        <v>0</v>
      </c>
      <c r="Q119" s="858">
        <f>'Overflow (3)'!$M27</f>
        <v>0</v>
      </c>
      <c r="R119" s="859">
        <f t="shared" si="24"/>
        <v>0</v>
      </c>
      <c r="S119" s="825">
        <f>'Overflow (3)'!G81</f>
        <v>0</v>
      </c>
      <c r="T119" s="826">
        <f t="shared" si="25"/>
        <v>0</v>
      </c>
      <c r="U119" s="860">
        <f>LOOKUP('Overflow (3)'!$C27,Cities!$A$3:$A$356,Cities!$D$3:$D$356)</f>
        <v>0</v>
      </c>
      <c r="V119" s="861">
        <f t="shared" si="26"/>
        <v>0</v>
      </c>
    </row>
    <row r="120" spans="1:22" x14ac:dyDescent="0.2">
      <c r="A120" s="271">
        <f>LOOKUP('Overflow (3)'!$C28,Cities!$A$3:$A$356,Cities!$C$3:$C$356)</f>
        <v>0</v>
      </c>
      <c r="B120" s="959">
        <f>'Print Return'!L$37</f>
        <v>0</v>
      </c>
      <c r="C120" s="858">
        <f>'Overflow (3)'!$M28</f>
        <v>0</v>
      </c>
      <c r="D120" s="859">
        <f t="shared" si="18"/>
        <v>0</v>
      </c>
      <c r="E120" s="825">
        <f>'Overflow (3)'!G82</f>
        <v>0</v>
      </c>
      <c r="F120" s="826">
        <f t="shared" si="19"/>
        <v>0</v>
      </c>
      <c r="G120" s="960">
        <f t="shared" si="20"/>
        <v>0</v>
      </c>
      <c r="H120" s="122">
        <f>'Print Return'!L$41</f>
        <v>0</v>
      </c>
      <c r="I120" s="293">
        <f>IF('Overflow (3)'!O28&lt;2015,MIN(G120,H120)/2,MIN(G120,H120))</f>
        <v>0</v>
      </c>
      <c r="J120" s="960">
        <f t="shared" si="21"/>
        <v>0</v>
      </c>
      <c r="K120" s="293">
        <f t="shared" si="22"/>
        <v>0</v>
      </c>
      <c r="L120" s="860">
        <f>LOOKUP('Overflow (3)'!$C28,Cities!$A$3:$A$356,Cities!$D$3:$D$356)</f>
        <v>0</v>
      </c>
      <c r="M120" s="861">
        <f t="shared" si="23"/>
        <v>0</v>
      </c>
      <c r="O120" s="271">
        <f>LOOKUP('Overflow (3)'!$C28,Cities!$A$3:$A$356,Cities!$C$3:$C$356)</f>
        <v>0</v>
      </c>
      <c r="P120" s="857">
        <f>IF('Overflow (3)'!O28&lt;2015,'Print Return'!L$45,J120)</f>
        <v>0</v>
      </c>
      <c r="Q120" s="858">
        <f>'Overflow (3)'!$M28</f>
        <v>0</v>
      </c>
      <c r="R120" s="859">
        <f t="shared" si="24"/>
        <v>0</v>
      </c>
      <c r="S120" s="825">
        <f>'Overflow (3)'!G82</f>
        <v>0</v>
      </c>
      <c r="T120" s="826">
        <f t="shared" si="25"/>
        <v>0</v>
      </c>
      <c r="U120" s="860">
        <f>LOOKUP('Overflow (3)'!$C28,Cities!$A$3:$A$356,Cities!$D$3:$D$356)</f>
        <v>0</v>
      </c>
      <c r="V120" s="861">
        <f t="shared" si="26"/>
        <v>0</v>
      </c>
    </row>
    <row r="121" spans="1:22" x14ac:dyDescent="0.2">
      <c r="A121" s="271">
        <f>LOOKUP('Overflow (3)'!$C29,Cities!$A$3:$A$356,Cities!$C$3:$C$356)</f>
        <v>0</v>
      </c>
      <c r="B121" s="959">
        <f>'Print Return'!L$37</f>
        <v>0</v>
      </c>
      <c r="C121" s="858">
        <f>'Overflow (3)'!$M29</f>
        <v>0</v>
      </c>
      <c r="D121" s="859">
        <f t="shared" si="18"/>
        <v>0</v>
      </c>
      <c r="E121" s="825">
        <f>'Overflow (3)'!G83</f>
        <v>0</v>
      </c>
      <c r="F121" s="826">
        <f t="shared" si="19"/>
        <v>0</v>
      </c>
      <c r="G121" s="960">
        <f t="shared" si="20"/>
        <v>0</v>
      </c>
      <c r="H121" s="122">
        <f>'Print Return'!L$41</f>
        <v>0</v>
      </c>
      <c r="I121" s="293">
        <f>IF('Overflow (3)'!O29&lt;2015,MIN(G121,H121)/2,MIN(G121,H121))</f>
        <v>0</v>
      </c>
      <c r="J121" s="960">
        <f t="shared" si="21"/>
        <v>0</v>
      </c>
      <c r="K121" s="293">
        <f t="shared" si="22"/>
        <v>0</v>
      </c>
      <c r="L121" s="860">
        <f>LOOKUP('Overflow (3)'!$C29,Cities!$A$3:$A$356,Cities!$D$3:$D$356)</f>
        <v>0</v>
      </c>
      <c r="M121" s="861">
        <f t="shared" si="23"/>
        <v>0</v>
      </c>
      <c r="O121" s="271">
        <f>LOOKUP('Overflow (3)'!$C29,Cities!$A$3:$A$356,Cities!$C$3:$C$356)</f>
        <v>0</v>
      </c>
      <c r="P121" s="857">
        <f>IF('Overflow (3)'!O29&lt;2015,'Print Return'!L$45,J121)</f>
        <v>0</v>
      </c>
      <c r="Q121" s="858">
        <f>'Overflow (3)'!$M29</f>
        <v>0</v>
      </c>
      <c r="R121" s="859">
        <f t="shared" si="24"/>
        <v>0</v>
      </c>
      <c r="S121" s="825">
        <f>'Overflow (3)'!G83</f>
        <v>0</v>
      </c>
      <c r="T121" s="826">
        <f t="shared" si="25"/>
        <v>0</v>
      </c>
      <c r="U121" s="860">
        <f>LOOKUP('Overflow (3)'!$C29,Cities!$A$3:$A$356,Cities!$D$3:$D$356)</f>
        <v>0</v>
      </c>
      <c r="V121" s="861">
        <f t="shared" si="26"/>
        <v>0</v>
      </c>
    </row>
    <row r="122" spans="1:22" x14ac:dyDescent="0.2">
      <c r="A122" s="271">
        <f>LOOKUP('Overflow (3)'!$C30,Cities!$A$3:$A$356,Cities!$C$3:$C$356)</f>
        <v>0</v>
      </c>
      <c r="B122" s="959">
        <f>'Print Return'!L$37</f>
        <v>0</v>
      </c>
      <c r="C122" s="858">
        <f>'Overflow (3)'!$M30</f>
        <v>0</v>
      </c>
      <c r="D122" s="859">
        <f t="shared" si="18"/>
        <v>0</v>
      </c>
      <c r="E122" s="825">
        <f>'Overflow (3)'!G84</f>
        <v>0</v>
      </c>
      <c r="F122" s="826">
        <f t="shared" si="19"/>
        <v>0</v>
      </c>
      <c r="G122" s="960">
        <f t="shared" si="20"/>
        <v>0</v>
      </c>
      <c r="H122" s="122">
        <f>'Print Return'!L$41</f>
        <v>0</v>
      </c>
      <c r="I122" s="293">
        <f>IF('Overflow (3)'!O30&lt;2015,MIN(G122,H122)/2,MIN(G122,H122))</f>
        <v>0</v>
      </c>
      <c r="J122" s="960">
        <f t="shared" si="21"/>
        <v>0</v>
      </c>
      <c r="K122" s="293">
        <f t="shared" si="22"/>
        <v>0</v>
      </c>
      <c r="L122" s="860">
        <f>LOOKUP('Overflow (3)'!$C30,Cities!$A$3:$A$356,Cities!$D$3:$D$356)</f>
        <v>0</v>
      </c>
      <c r="M122" s="861">
        <f t="shared" si="23"/>
        <v>0</v>
      </c>
      <c r="O122" s="271">
        <f>LOOKUP('Overflow (3)'!$C30,Cities!$A$3:$A$356,Cities!$C$3:$C$356)</f>
        <v>0</v>
      </c>
      <c r="P122" s="857">
        <f>IF('Overflow (3)'!O30&lt;2015,'Print Return'!L$45,J122)</f>
        <v>0</v>
      </c>
      <c r="Q122" s="858">
        <f>'Overflow (3)'!$M30</f>
        <v>0</v>
      </c>
      <c r="R122" s="859">
        <f t="shared" si="24"/>
        <v>0</v>
      </c>
      <c r="S122" s="825">
        <f>'Overflow (3)'!G84</f>
        <v>0</v>
      </c>
      <c r="T122" s="826">
        <f t="shared" si="25"/>
        <v>0</v>
      </c>
      <c r="U122" s="860">
        <f>LOOKUP('Overflow (3)'!$C30,Cities!$A$3:$A$356,Cities!$D$3:$D$356)</f>
        <v>0</v>
      </c>
      <c r="V122" s="861">
        <f t="shared" si="26"/>
        <v>0</v>
      </c>
    </row>
    <row r="123" spans="1:22" x14ac:dyDescent="0.2">
      <c r="A123" s="271">
        <f>LOOKUP('Overflow (3)'!$C31,Cities!$A$3:$A$356,Cities!$C$3:$C$356)</f>
        <v>0</v>
      </c>
      <c r="B123" s="959">
        <f>'Print Return'!L$37</f>
        <v>0</v>
      </c>
      <c r="C123" s="858">
        <f>'Overflow (3)'!$M31</f>
        <v>0</v>
      </c>
      <c r="D123" s="859">
        <f t="shared" si="18"/>
        <v>0</v>
      </c>
      <c r="E123" s="825">
        <f>'Overflow (3)'!G85</f>
        <v>0</v>
      </c>
      <c r="F123" s="826">
        <f t="shared" si="19"/>
        <v>0</v>
      </c>
      <c r="G123" s="960">
        <f t="shared" si="20"/>
        <v>0</v>
      </c>
      <c r="H123" s="122">
        <f>'Print Return'!L$41</f>
        <v>0</v>
      </c>
      <c r="I123" s="293">
        <f>IF('Overflow (3)'!O31&lt;2015,MIN(G123,H123)/2,MIN(G123,H123))</f>
        <v>0</v>
      </c>
      <c r="J123" s="960">
        <f t="shared" si="21"/>
        <v>0</v>
      </c>
      <c r="K123" s="293">
        <f t="shared" si="22"/>
        <v>0</v>
      </c>
      <c r="L123" s="860">
        <f>LOOKUP('Overflow (3)'!$C31,Cities!$A$3:$A$356,Cities!$D$3:$D$356)</f>
        <v>0</v>
      </c>
      <c r="M123" s="861">
        <f t="shared" si="23"/>
        <v>0</v>
      </c>
      <c r="O123" s="271">
        <f>LOOKUP('Overflow (3)'!$C31,Cities!$A$3:$A$356,Cities!$C$3:$C$356)</f>
        <v>0</v>
      </c>
      <c r="P123" s="857">
        <f>IF('Overflow (3)'!O31&lt;2015,'Print Return'!L$45,J123)</f>
        <v>0</v>
      </c>
      <c r="Q123" s="858">
        <f>'Overflow (3)'!$M31</f>
        <v>0</v>
      </c>
      <c r="R123" s="859">
        <f t="shared" si="24"/>
        <v>0</v>
      </c>
      <c r="S123" s="825">
        <f>'Overflow (3)'!G85</f>
        <v>0</v>
      </c>
      <c r="T123" s="826">
        <f t="shared" si="25"/>
        <v>0</v>
      </c>
      <c r="U123" s="860">
        <f>LOOKUP('Overflow (3)'!$C31,Cities!$A$3:$A$356,Cities!$D$3:$D$356)</f>
        <v>0</v>
      </c>
      <c r="V123" s="861">
        <f t="shared" si="26"/>
        <v>0</v>
      </c>
    </row>
    <row r="124" spans="1:22" x14ac:dyDescent="0.2">
      <c r="A124" s="271">
        <f>LOOKUP('Overflow (3)'!$C32,Cities!$A$3:$A$356,Cities!$C$3:$C$356)</f>
        <v>0</v>
      </c>
      <c r="B124" s="959">
        <f>'Print Return'!L$37</f>
        <v>0</v>
      </c>
      <c r="C124" s="858">
        <f>'Overflow (3)'!$M32</f>
        <v>0</v>
      </c>
      <c r="D124" s="859">
        <f t="shared" si="18"/>
        <v>0</v>
      </c>
      <c r="E124" s="825">
        <f>'Overflow (3)'!G86</f>
        <v>0</v>
      </c>
      <c r="F124" s="826">
        <f t="shared" si="19"/>
        <v>0</v>
      </c>
      <c r="G124" s="960">
        <f t="shared" si="20"/>
        <v>0</v>
      </c>
      <c r="H124" s="122">
        <f>'Print Return'!L$41</f>
        <v>0</v>
      </c>
      <c r="I124" s="293">
        <f>IF('Overflow (3)'!O32&lt;2015,MIN(G124,H124)/2,MIN(G124,H124))</f>
        <v>0</v>
      </c>
      <c r="J124" s="960">
        <f t="shared" si="21"/>
        <v>0</v>
      </c>
      <c r="K124" s="293">
        <f t="shared" si="22"/>
        <v>0</v>
      </c>
      <c r="L124" s="860">
        <f>LOOKUP('Overflow (3)'!$C32,Cities!$A$3:$A$356,Cities!$D$3:$D$356)</f>
        <v>0</v>
      </c>
      <c r="M124" s="861">
        <f t="shared" si="23"/>
        <v>0</v>
      </c>
      <c r="O124" s="271">
        <f>LOOKUP('Overflow (3)'!$C32,Cities!$A$3:$A$356,Cities!$C$3:$C$356)</f>
        <v>0</v>
      </c>
      <c r="P124" s="857">
        <f>IF('Overflow (3)'!O32&lt;2015,'Print Return'!L$45,J124)</f>
        <v>0</v>
      </c>
      <c r="Q124" s="858">
        <f>'Overflow (3)'!$M32</f>
        <v>0</v>
      </c>
      <c r="R124" s="859">
        <f t="shared" si="24"/>
        <v>0</v>
      </c>
      <c r="S124" s="825">
        <f>'Overflow (3)'!G86</f>
        <v>0</v>
      </c>
      <c r="T124" s="826">
        <f t="shared" si="25"/>
        <v>0</v>
      </c>
      <c r="U124" s="860">
        <f>LOOKUP('Overflow (3)'!$C32,Cities!$A$3:$A$356,Cities!$D$3:$D$356)</f>
        <v>0</v>
      </c>
      <c r="V124" s="861">
        <f t="shared" si="26"/>
        <v>0</v>
      </c>
    </row>
    <row r="125" spans="1:22" x14ac:dyDescent="0.2">
      <c r="A125" s="271">
        <f>LOOKUP('Overflow (3)'!$C33,Cities!$A$3:$A$356,Cities!$C$3:$C$356)</f>
        <v>0</v>
      </c>
      <c r="B125" s="959">
        <f>'Print Return'!L$37</f>
        <v>0</v>
      </c>
      <c r="C125" s="858">
        <f>'Overflow (3)'!$M33</f>
        <v>0</v>
      </c>
      <c r="D125" s="859">
        <f t="shared" si="18"/>
        <v>0</v>
      </c>
      <c r="E125" s="825">
        <f>'Overflow (3)'!G87</f>
        <v>0</v>
      </c>
      <c r="F125" s="826">
        <f t="shared" si="19"/>
        <v>0</v>
      </c>
      <c r="G125" s="960">
        <f t="shared" si="20"/>
        <v>0</v>
      </c>
      <c r="H125" s="122">
        <f>'Print Return'!L$41</f>
        <v>0</v>
      </c>
      <c r="I125" s="293">
        <f>IF('Overflow (3)'!O33&lt;2015,MIN(G125,H125)/2,MIN(G125,H125))</f>
        <v>0</v>
      </c>
      <c r="J125" s="960">
        <f t="shared" si="21"/>
        <v>0</v>
      </c>
      <c r="K125" s="293">
        <f t="shared" si="22"/>
        <v>0</v>
      </c>
      <c r="L125" s="860">
        <f>LOOKUP('Overflow (3)'!$C33,Cities!$A$3:$A$356,Cities!$D$3:$D$356)</f>
        <v>0</v>
      </c>
      <c r="M125" s="861">
        <f t="shared" si="23"/>
        <v>0</v>
      </c>
      <c r="O125" s="271">
        <f>LOOKUP('Overflow (3)'!$C33,Cities!$A$3:$A$356,Cities!$C$3:$C$356)</f>
        <v>0</v>
      </c>
      <c r="P125" s="857">
        <f>IF('Overflow (3)'!O33&lt;2015,'Print Return'!L$45,J125)</f>
        <v>0</v>
      </c>
      <c r="Q125" s="858">
        <f>'Overflow (3)'!$M33</f>
        <v>0</v>
      </c>
      <c r="R125" s="859">
        <f t="shared" si="24"/>
        <v>0</v>
      </c>
      <c r="S125" s="825">
        <f>'Overflow (3)'!G87</f>
        <v>0</v>
      </c>
      <c r="T125" s="826">
        <f t="shared" si="25"/>
        <v>0</v>
      </c>
      <c r="U125" s="860">
        <f>LOOKUP('Overflow (3)'!$C33,Cities!$A$3:$A$356,Cities!$D$3:$D$356)</f>
        <v>0</v>
      </c>
      <c r="V125" s="861">
        <f t="shared" si="26"/>
        <v>0</v>
      </c>
    </row>
    <row r="126" spans="1:22" x14ac:dyDescent="0.2">
      <c r="A126" s="271">
        <f>LOOKUP('Overflow (3)'!$C34,Cities!$A$3:$A$356,Cities!$C$3:$C$356)</f>
        <v>0</v>
      </c>
      <c r="B126" s="959">
        <f>'Print Return'!L$37</f>
        <v>0</v>
      </c>
      <c r="C126" s="858">
        <f>'Overflow (3)'!$M34</f>
        <v>0</v>
      </c>
      <c r="D126" s="859">
        <f t="shared" si="18"/>
        <v>0</v>
      </c>
      <c r="E126" s="825">
        <f>'Overflow (3)'!G88</f>
        <v>0</v>
      </c>
      <c r="F126" s="826">
        <f t="shared" si="19"/>
        <v>0</v>
      </c>
      <c r="G126" s="960">
        <f t="shared" si="20"/>
        <v>0</v>
      </c>
      <c r="H126" s="122">
        <f>'Print Return'!L$41</f>
        <v>0</v>
      </c>
      <c r="I126" s="293">
        <f>IF('Overflow (3)'!O34&lt;2015,MIN(G126,H126)/2,MIN(G126,H126))</f>
        <v>0</v>
      </c>
      <c r="J126" s="960">
        <f t="shared" si="21"/>
        <v>0</v>
      </c>
      <c r="K126" s="293">
        <f t="shared" si="22"/>
        <v>0</v>
      </c>
      <c r="L126" s="860">
        <f>LOOKUP('Overflow (3)'!$C34,Cities!$A$3:$A$356,Cities!$D$3:$D$356)</f>
        <v>0</v>
      </c>
      <c r="M126" s="861">
        <f t="shared" si="23"/>
        <v>0</v>
      </c>
      <c r="O126" s="271">
        <f>LOOKUP('Overflow (3)'!$C34,Cities!$A$3:$A$356,Cities!$C$3:$C$356)</f>
        <v>0</v>
      </c>
      <c r="P126" s="857">
        <f>IF('Overflow (3)'!O34&lt;2015,'Print Return'!L$45,J126)</f>
        <v>0</v>
      </c>
      <c r="Q126" s="858">
        <f>'Overflow (3)'!$M34</f>
        <v>0</v>
      </c>
      <c r="R126" s="859">
        <f t="shared" si="24"/>
        <v>0</v>
      </c>
      <c r="S126" s="825">
        <f>'Overflow (3)'!G88</f>
        <v>0</v>
      </c>
      <c r="T126" s="826">
        <f t="shared" si="25"/>
        <v>0</v>
      </c>
      <c r="U126" s="860">
        <f>LOOKUP('Overflow (3)'!$C34,Cities!$A$3:$A$356,Cities!$D$3:$D$356)</f>
        <v>0</v>
      </c>
      <c r="V126" s="861">
        <f t="shared" si="26"/>
        <v>0</v>
      </c>
    </row>
    <row r="127" spans="1:22" x14ac:dyDescent="0.2">
      <c r="A127" s="271">
        <f>LOOKUP('Overflow (3)'!$C35,Cities!$A$3:$A$356,Cities!$C$3:$C$356)</f>
        <v>0</v>
      </c>
      <c r="B127" s="959">
        <f>'Print Return'!L$37</f>
        <v>0</v>
      </c>
      <c r="C127" s="858">
        <f>'Overflow (3)'!$M35</f>
        <v>0</v>
      </c>
      <c r="D127" s="859">
        <f t="shared" si="18"/>
        <v>0</v>
      </c>
      <c r="E127" s="825">
        <f>'Overflow (3)'!G89</f>
        <v>0</v>
      </c>
      <c r="F127" s="826">
        <f t="shared" si="19"/>
        <v>0</v>
      </c>
      <c r="G127" s="960">
        <f t="shared" si="20"/>
        <v>0</v>
      </c>
      <c r="H127" s="122">
        <f>'Print Return'!L$41</f>
        <v>0</v>
      </c>
      <c r="I127" s="293">
        <f>IF('Overflow (3)'!O35&lt;2015,MIN(G127,H127)/2,MIN(G127,H127))</f>
        <v>0</v>
      </c>
      <c r="J127" s="960">
        <f t="shared" si="21"/>
        <v>0</v>
      </c>
      <c r="K127" s="293">
        <f t="shared" si="22"/>
        <v>0</v>
      </c>
      <c r="L127" s="860">
        <f>LOOKUP('Overflow (3)'!$C35,Cities!$A$3:$A$356,Cities!$D$3:$D$356)</f>
        <v>0</v>
      </c>
      <c r="M127" s="861">
        <f t="shared" si="23"/>
        <v>0</v>
      </c>
      <c r="O127" s="271">
        <f>LOOKUP('Overflow (3)'!$C35,Cities!$A$3:$A$356,Cities!$C$3:$C$356)</f>
        <v>0</v>
      </c>
      <c r="P127" s="857">
        <f>IF('Overflow (3)'!O35&lt;2015,'Print Return'!L$45,J127)</f>
        <v>0</v>
      </c>
      <c r="Q127" s="858">
        <f>'Overflow (3)'!$M35</f>
        <v>0</v>
      </c>
      <c r="R127" s="859">
        <f t="shared" si="24"/>
        <v>0</v>
      </c>
      <c r="S127" s="825">
        <f>'Overflow (3)'!G89</f>
        <v>0</v>
      </c>
      <c r="T127" s="826">
        <f t="shared" si="25"/>
        <v>0</v>
      </c>
      <c r="U127" s="860">
        <f>LOOKUP('Overflow (3)'!$C35,Cities!$A$3:$A$356,Cities!$D$3:$D$356)</f>
        <v>0</v>
      </c>
      <c r="V127" s="861">
        <f t="shared" si="26"/>
        <v>0</v>
      </c>
    </row>
    <row r="128" spans="1:22" x14ac:dyDescent="0.2">
      <c r="A128" s="271">
        <f>LOOKUP('Overflow (3)'!$C36,Cities!$A$3:$A$356,Cities!$C$3:$C$356)</f>
        <v>0</v>
      </c>
      <c r="B128" s="959">
        <f>'Print Return'!L$37</f>
        <v>0</v>
      </c>
      <c r="C128" s="858">
        <f>'Overflow (3)'!$M36</f>
        <v>0</v>
      </c>
      <c r="D128" s="859">
        <f t="shared" si="18"/>
        <v>0</v>
      </c>
      <c r="E128" s="825">
        <f>'Overflow (3)'!G90</f>
        <v>0</v>
      </c>
      <c r="F128" s="826">
        <f t="shared" si="19"/>
        <v>0</v>
      </c>
      <c r="G128" s="960">
        <f t="shared" si="20"/>
        <v>0</v>
      </c>
      <c r="H128" s="122">
        <f>'Print Return'!L$41</f>
        <v>0</v>
      </c>
      <c r="I128" s="293">
        <f>IF('Overflow (3)'!O36&lt;2015,MIN(G128,H128)/2,MIN(G128,H128))</f>
        <v>0</v>
      </c>
      <c r="J128" s="960">
        <f t="shared" si="21"/>
        <v>0</v>
      </c>
      <c r="K128" s="293">
        <f t="shared" si="22"/>
        <v>0</v>
      </c>
      <c r="L128" s="860">
        <f>LOOKUP('Overflow (3)'!$C36,Cities!$A$3:$A$356,Cities!$D$3:$D$356)</f>
        <v>0</v>
      </c>
      <c r="M128" s="861">
        <f t="shared" si="23"/>
        <v>0</v>
      </c>
      <c r="O128" s="271">
        <f>LOOKUP('Overflow (3)'!$C36,Cities!$A$3:$A$356,Cities!$C$3:$C$356)</f>
        <v>0</v>
      </c>
      <c r="P128" s="857">
        <f>IF('Overflow (3)'!O36&lt;2015,'Print Return'!L$45,J128)</f>
        <v>0</v>
      </c>
      <c r="Q128" s="858">
        <f>'Overflow (3)'!$M36</f>
        <v>0</v>
      </c>
      <c r="R128" s="859">
        <f t="shared" si="24"/>
        <v>0</v>
      </c>
      <c r="S128" s="825">
        <f>'Overflow (3)'!G90</f>
        <v>0</v>
      </c>
      <c r="T128" s="826">
        <f t="shared" si="25"/>
        <v>0</v>
      </c>
      <c r="U128" s="860">
        <f>LOOKUP('Overflow (3)'!$C36,Cities!$A$3:$A$356,Cities!$D$3:$D$356)</f>
        <v>0</v>
      </c>
      <c r="V128" s="861">
        <f t="shared" si="26"/>
        <v>0</v>
      </c>
    </row>
    <row r="129" spans="1:22" x14ac:dyDescent="0.2">
      <c r="A129" s="271">
        <f>LOOKUP('Overflow (3)'!$C37,Cities!$A$3:$A$356,Cities!$C$3:$C$356)</f>
        <v>0</v>
      </c>
      <c r="B129" s="959">
        <f>'Print Return'!L$37</f>
        <v>0</v>
      </c>
      <c r="C129" s="858">
        <f>'Overflow (3)'!$M37</f>
        <v>0</v>
      </c>
      <c r="D129" s="859">
        <f t="shared" si="18"/>
        <v>0</v>
      </c>
      <c r="E129" s="825">
        <f>'Overflow (3)'!G91</f>
        <v>0</v>
      </c>
      <c r="F129" s="826">
        <f t="shared" si="19"/>
        <v>0</v>
      </c>
      <c r="G129" s="960">
        <f t="shared" si="20"/>
        <v>0</v>
      </c>
      <c r="H129" s="122">
        <f>'Print Return'!L$41</f>
        <v>0</v>
      </c>
      <c r="I129" s="293">
        <f>IF('Overflow (3)'!O37&lt;2015,MIN(G129,H129)/2,MIN(G129,H129))</f>
        <v>0</v>
      </c>
      <c r="J129" s="960">
        <f t="shared" si="21"/>
        <v>0</v>
      </c>
      <c r="K129" s="293">
        <f t="shared" si="22"/>
        <v>0</v>
      </c>
      <c r="L129" s="860">
        <f>LOOKUP('Overflow (3)'!$C37,Cities!$A$3:$A$356,Cities!$D$3:$D$356)</f>
        <v>0</v>
      </c>
      <c r="M129" s="861">
        <f t="shared" si="23"/>
        <v>0</v>
      </c>
      <c r="O129" s="271">
        <f>LOOKUP('Overflow (3)'!$C37,Cities!$A$3:$A$356,Cities!$C$3:$C$356)</f>
        <v>0</v>
      </c>
      <c r="P129" s="857">
        <f>IF('Overflow (3)'!O37&lt;2015,'Print Return'!L$45,J129)</f>
        <v>0</v>
      </c>
      <c r="Q129" s="858">
        <f>'Overflow (3)'!$M37</f>
        <v>0</v>
      </c>
      <c r="R129" s="859">
        <f t="shared" si="24"/>
        <v>0</v>
      </c>
      <c r="S129" s="825">
        <f>'Overflow (3)'!G91</f>
        <v>0</v>
      </c>
      <c r="T129" s="826">
        <f t="shared" si="25"/>
        <v>0</v>
      </c>
      <c r="U129" s="860">
        <f>LOOKUP('Overflow (3)'!$C37,Cities!$A$3:$A$356,Cities!$D$3:$D$356)</f>
        <v>0</v>
      </c>
      <c r="V129" s="861">
        <f t="shared" si="26"/>
        <v>0</v>
      </c>
    </row>
    <row r="130" spans="1:22" x14ac:dyDescent="0.2">
      <c r="A130" s="271">
        <f>LOOKUP('Overflow (3)'!$C38,Cities!$A$3:$A$356,Cities!$C$3:$C$356)</f>
        <v>0</v>
      </c>
      <c r="B130" s="959">
        <f>'Print Return'!L$37</f>
        <v>0</v>
      </c>
      <c r="C130" s="858">
        <f>'Overflow (3)'!$M38</f>
        <v>0</v>
      </c>
      <c r="D130" s="859">
        <f t="shared" si="18"/>
        <v>0</v>
      </c>
      <c r="E130" s="825">
        <f>'Overflow (3)'!G92</f>
        <v>0</v>
      </c>
      <c r="F130" s="826">
        <f t="shared" si="19"/>
        <v>0</v>
      </c>
      <c r="G130" s="960">
        <f t="shared" si="20"/>
        <v>0</v>
      </c>
      <c r="H130" s="122">
        <f>'Print Return'!L$41</f>
        <v>0</v>
      </c>
      <c r="I130" s="293">
        <f>IF('Overflow (3)'!O38&lt;2015,MIN(G130,H130)/2,MIN(G130,H130))</f>
        <v>0</v>
      </c>
      <c r="J130" s="960">
        <f t="shared" si="21"/>
        <v>0</v>
      </c>
      <c r="K130" s="293">
        <f t="shared" si="22"/>
        <v>0</v>
      </c>
      <c r="L130" s="860">
        <f>LOOKUP('Overflow (3)'!$C38,Cities!$A$3:$A$356,Cities!$D$3:$D$356)</f>
        <v>0</v>
      </c>
      <c r="M130" s="861">
        <f t="shared" si="23"/>
        <v>0</v>
      </c>
      <c r="O130" s="271">
        <f>LOOKUP('Overflow (3)'!$C38,Cities!$A$3:$A$356,Cities!$C$3:$C$356)</f>
        <v>0</v>
      </c>
      <c r="P130" s="857">
        <f>IF('Overflow (3)'!O38&lt;2015,'Print Return'!L$45,J130)</f>
        <v>0</v>
      </c>
      <c r="Q130" s="858">
        <f>'Overflow (3)'!$M38</f>
        <v>0</v>
      </c>
      <c r="R130" s="859">
        <f t="shared" si="24"/>
        <v>0</v>
      </c>
      <c r="S130" s="825">
        <f>'Overflow (3)'!G92</f>
        <v>0</v>
      </c>
      <c r="T130" s="826">
        <f t="shared" si="25"/>
        <v>0</v>
      </c>
      <c r="U130" s="860">
        <f>LOOKUP('Overflow (3)'!$C38,Cities!$A$3:$A$356,Cities!$D$3:$D$356)</f>
        <v>0</v>
      </c>
      <c r="V130" s="861">
        <f t="shared" si="26"/>
        <v>0</v>
      </c>
    </row>
    <row r="131" spans="1:22" x14ac:dyDescent="0.2">
      <c r="A131" s="271">
        <f>LOOKUP('Overflow (3)'!$C39,Cities!$A$3:$A$356,Cities!$C$3:$C$356)</f>
        <v>0</v>
      </c>
      <c r="B131" s="959">
        <f>'Print Return'!L$37</f>
        <v>0</v>
      </c>
      <c r="C131" s="858">
        <f>'Overflow (3)'!$M39</f>
        <v>0</v>
      </c>
      <c r="D131" s="859">
        <f t="shared" si="18"/>
        <v>0</v>
      </c>
      <c r="E131" s="825">
        <f>'Overflow (3)'!G93</f>
        <v>0</v>
      </c>
      <c r="F131" s="826">
        <f t="shared" si="19"/>
        <v>0</v>
      </c>
      <c r="G131" s="960">
        <f t="shared" si="20"/>
        <v>0</v>
      </c>
      <c r="H131" s="122">
        <f>'Print Return'!L$41</f>
        <v>0</v>
      </c>
      <c r="I131" s="293">
        <f>IF('Overflow (3)'!O39&lt;2015,MIN(G131,H131)/2,MIN(G131,H131))</f>
        <v>0</v>
      </c>
      <c r="J131" s="960">
        <f t="shared" si="21"/>
        <v>0</v>
      </c>
      <c r="K131" s="293">
        <f t="shared" si="22"/>
        <v>0</v>
      </c>
      <c r="L131" s="860">
        <f>LOOKUP('Overflow (3)'!$C39,Cities!$A$3:$A$356,Cities!$D$3:$D$356)</f>
        <v>0</v>
      </c>
      <c r="M131" s="861">
        <f t="shared" si="23"/>
        <v>0</v>
      </c>
      <c r="O131" s="271">
        <f>LOOKUP('Overflow (3)'!$C39,Cities!$A$3:$A$356,Cities!$C$3:$C$356)</f>
        <v>0</v>
      </c>
      <c r="P131" s="857">
        <f>IF('Overflow (3)'!O39&lt;2015,'Print Return'!L$45,J131)</f>
        <v>0</v>
      </c>
      <c r="Q131" s="858">
        <f>'Overflow (3)'!$M39</f>
        <v>0</v>
      </c>
      <c r="R131" s="859">
        <f t="shared" si="24"/>
        <v>0</v>
      </c>
      <c r="S131" s="825">
        <f>'Overflow (3)'!G93</f>
        <v>0</v>
      </c>
      <c r="T131" s="826">
        <f t="shared" si="25"/>
        <v>0</v>
      </c>
      <c r="U131" s="860">
        <f>LOOKUP('Overflow (3)'!$C39,Cities!$A$3:$A$356,Cities!$D$3:$D$356)</f>
        <v>0</v>
      </c>
      <c r="V131" s="861">
        <f t="shared" si="26"/>
        <v>0</v>
      </c>
    </row>
    <row r="132" spans="1:22" x14ac:dyDescent="0.2">
      <c r="A132" s="271">
        <f>LOOKUP('Overflow (3)'!$C40,Cities!$A$3:$A$356,Cities!$C$3:$C$356)</f>
        <v>0</v>
      </c>
      <c r="B132" s="959">
        <f>'Print Return'!L$37</f>
        <v>0</v>
      </c>
      <c r="C132" s="858">
        <f>'Overflow (3)'!$M40</f>
        <v>0</v>
      </c>
      <c r="D132" s="859">
        <f t="shared" si="18"/>
        <v>0</v>
      </c>
      <c r="E132" s="825">
        <f>'Overflow (3)'!G94</f>
        <v>0</v>
      </c>
      <c r="F132" s="826">
        <f t="shared" si="19"/>
        <v>0</v>
      </c>
      <c r="G132" s="960">
        <f t="shared" si="20"/>
        <v>0</v>
      </c>
      <c r="H132" s="122">
        <f>'Print Return'!L$41</f>
        <v>0</v>
      </c>
      <c r="I132" s="293">
        <f>IF('Overflow (3)'!O40&lt;2015,MIN(G132,H132)/2,MIN(G132,H132))</f>
        <v>0</v>
      </c>
      <c r="J132" s="960">
        <f t="shared" si="21"/>
        <v>0</v>
      </c>
      <c r="K132" s="293">
        <f t="shared" si="22"/>
        <v>0</v>
      </c>
      <c r="L132" s="860">
        <f>LOOKUP('Overflow (3)'!$C40,Cities!$A$3:$A$356,Cities!$D$3:$D$356)</f>
        <v>0</v>
      </c>
      <c r="M132" s="861">
        <f t="shared" si="23"/>
        <v>0</v>
      </c>
      <c r="O132" s="271">
        <f>LOOKUP('Overflow (3)'!$C40,Cities!$A$3:$A$356,Cities!$C$3:$C$356)</f>
        <v>0</v>
      </c>
      <c r="P132" s="857">
        <f>IF('Overflow (3)'!O40&lt;2015,'Print Return'!L$45,J132)</f>
        <v>0</v>
      </c>
      <c r="Q132" s="858">
        <f>'Overflow (3)'!$M40</f>
        <v>0</v>
      </c>
      <c r="R132" s="859">
        <f t="shared" si="24"/>
        <v>0</v>
      </c>
      <c r="S132" s="825">
        <f>'Overflow (3)'!G94</f>
        <v>0</v>
      </c>
      <c r="T132" s="826">
        <f t="shared" si="25"/>
        <v>0</v>
      </c>
      <c r="U132" s="860">
        <f>LOOKUP('Overflow (3)'!$C40,Cities!$A$3:$A$356,Cities!$D$3:$D$356)</f>
        <v>0</v>
      </c>
      <c r="V132" s="861">
        <f t="shared" si="26"/>
        <v>0</v>
      </c>
    </row>
    <row r="133" spans="1:22" x14ac:dyDescent="0.2">
      <c r="A133" s="271">
        <f>LOOKUP('Overflow (3)'!$C41,Cities!$A$3:$A$356,Cities!$C$3:$C$356)</f>
        <v>0</v>
      </c>
      <c r="B133" s="959">
        <f>'Print Return'!L$37</f>
        <v>0</v>
      </c>
      <c r="C133" s="858">
        <f>'Overflow (3)'!$M41</f>
        <v>0</v>
      </c>
      <c r="D133" s="859">
        <f t="shared" si="18"/>
        <v>0</v>
      </c>
      <c r="E133" s="825">
        <f>'Overflow (3)'!G95</f>
        <v>0</v>
      </c>
      <c r="F133" s="826">
        <f t="shared" si="19"/>
        <v>0</v>
      </c>
      <c r="G133" s="960">
        <f t="shared" si="20"/>
        <v>0</v>
      </c>
      <c r="H133" s="122">
        <f>'Print Return'!L$41</f>
        <v>0</v>
      </c>
      <c r="I133" s="293">
        <f>IF('Overflow (3)'!O41&lt;2015,MIN(G133,H133)/2,MIN(G133,H133))</f>
        <v>0</v>
      </c>
      <c r="J133" s="960">
        <f t="shared" si="21"/>
        <v>0</v>
      </c>
      <c r="K133" s="293">
        <f t="shared" si="22"/>
        <v>0</v>
      </c>
      <c r="L133" s="860">
        <f>LOOKUP('Overflow (3)'!$C41,Cities!$A$3:$A$356,Cities!$D$3:$D$356)</f>
        <v>0</v>
      </c>
      <c r="M133" s="861">
        <f t="shared" si="23"/>
        <v>0</v>
      </c>
      <c r="O133" s="271">
        <f>LOOKUP('Overflow (3)'!$C41,Cities!$A$3:$A$356,Cities!$C$3:$C$356)</f>
        <v>0</v>
      </c>
      <c r="P133" s="857">
        <f>IF('Overflow (3)'!O41&lt;2015,'Print Return'!L$45,J133)</f>
        <v>0</v>
      </c>
      <c r="Q133" s="858">
        <f>'Overflow (3)'!$M41</f>
        <v>0</v>
      </c>
      <c r="R133" s="859">
        <f t="shared" si="24"/>
        <v>0</v>
      </c>
      <c r="S133" s="825">
        <f>'Overflow (3)'!G95</f>
        <v>0</v>
      </c>
      <c r="T133" s="826">
        <f t="shared" si="25"/>
        <v>0</v>
      </c>
      <c r="U133" s="860">
        <f>LOOKUP('Overflow (3)'!$C41,Cities!$A$3:$A$356,Cities!$D$3:$D$356)</f>
        <v>0</v>
      </c>
      <c r="V133" s="861">
        <f t="shared" si="26"/>
        <v>0</v>
      </c>
    </row>
    <row r="134" spans="1:22" x14ac:dyDescent="0.2">
      <c r="A134" s="271">
        <f>LOOKUP('Overflow (3)'!$C42,Cities!$A$3:$A$356,Cities!$C$3:$C$356)</f>
        <v>0</v>
      </c>
      <c r="B134" s="959">
        <f>'Print Return'!L$37</f>
        <v>0</v>
      </c>
      <c r="C134" s="858">
        <f>'Overflow (3)'!$M42</f>
        <v>0</v>
      </c>
      <c r="D134" s="859">
        <f t="shared" si="18"/>
        <v>0</v>
      </c>
      <c r="E134" s="825">
        <f>'Overflow (3)'!G96</f>
        <v>0</v>
      </c>
      <c r="F134" s="826">
        <f t="shared" si="19"/>
        <v>0</v>
      </c>
      <c r="G134" s="960">
        <f t="shared" si="20"/>
        <v>0</v>
      </c>
      <c r="H134" s="122">
        <f>'Print Return'!L$41</f>
        <v>0</v>
      </c>
      <c r="I134" s="293">
        <f>IF('Overflow (3)'!O42&lt;2015,MIN(G134,H134)/2,MIN(G134,H134))</f>
        <v>0</v>
      </c>
      <c r="J134" s="960">
        <f t="shared" si="21"/>
        <v>0</v>
      </c>
      <c r="K134" s="293">
        <f t="shared" si="22"/>
        <v>0</v>
      </c>
      <c r="L134" s="860">
        <f>LOOKUP('Overflow (3)'!$C42,Cities!$A$3:$A$356,Cities!$D$3:$D$356)</f>
        <v>0</v>
      </c>
      <c r="M134" s="861">
        <f t="shared" si="23"/>
        <v>0</v>
      </c>
      <c r="O134" s="271">
        <f>LOOKUP('Overflow (3)'!$C42,Cities!$A$3:$A$356,Cities!$C$3:$C$356)</f>
        <v>0</v>
      </c>
      <c r="P134" s="857">
        <f>IF('Overflow (3)'!O42&lt;2015,'Print Return'!L$45,J134)</f>
        <v>0</v>
      </c>
      <c r="Q134" s="858">
        <f>'Overflow (3)'!$M42</f>
        <v>0</v>
      </c>
      <c r="R134" s="859">
        <f t="shared" si="24"/>
        <v>0</v>
      </c>
      <c r="S134" s="825">
        <f>'Overflow (3)'!G96</f>
        <v>0</v>
      </c>
      <c r="T134" s="826">
        <f t="shared" si="25"/>
        <v>0</v>
      </c>
      <c r="U134" s="860">
        <f>LOOKUP('Overflow (3)'!$C42,Cities!$A$3:$A$356,Cities!$D$3:$D$356)</f>
        <v>0</v>
      </c>
      <c r="V134" s="861">
        <f t="shared" si="26"/>
        <v>0</v>
      </c>
    </row>
    <row r="135" spans="1:22" x14ac:dyDescent="0.2">
      <c r="A135" s="271">
        <f>LOOKUP('Overflow (3)'!$C43,Cities!$A$3:$A$356,Cities!$C$3:$C$356)</f>
        <v>0</v>
      </c>
      <c r="B135" s="959">
        <f>'Print Return'!L$37</f>
        <v>0</v>
      </c>
      <c r="C135" s="858">
        <f>'Overflow (3)'!$M43</f>
        <v>0</v>
      </c>
      <c r="D135" s="859">
        <f t="shared" si="18"/>
        <v>0</v>
      </c>
      <c r="E135" s="825">
        <f>'Overflow (3)'!G97</f>
        <v>0</v>
      </c>
      <c r="F135" s="826">
        <f t="shared" si="19"/>
        <v>0</v>
      </c>
      <c r="G135" s="960">
        <f t="shared" si="20"/>
        <v>0</v>
      </c>
      <c r="H135" s="122">
        <f>'Print Return'!L$41</f>
        <v>0</v>
      </c>
      <c r="I135" s="293">
        <f>IF('Overflow (3)'!O43&lt;2015,MIN(G135,H135)/2,MIN(G135,H135))</f>
        <v>0</v>
      </c>
      <c r="J135" s="960">
        <f t="shared" si="21"/>
        <v>0</v>
      </c>
      <c r="K135" s="293">
        <f t="shared" si="22"/>
        <v>0</v>
      </c>
      <c r="L135" s="860">
        <f>LOOKUP('Overflow (3)'!$C43,Cities!$A$3:$A$356,Cities!$D$3:$D$356)</f>
        <v>0</v>
      </c>
      <c r="M135" s="861">
        <f t="shared" si="23"/>
        <v>0</v>
      </c>
      <c r="O135" s="271">
        <f>LOOKUP('Overflow (3)'!$C43,Cities!$A$3:$A$356,Cities!$C$3:$C$356)</f>
        <v>0</v>
      </c>
      <c r="P135" s="857">
        <f>IF('Overflow (3)'!O43&lt;2015,'Print Return'!L$45,J135)</f>
        <v>0</v>
      </c>
      <c r="Q135" s="858">
        <f>'Overflow (3)'!$M43</f>
        <v>0</v>
      </c>
      <c r="R135" s="859">
        <f t="shared" si="24"/>
        <v>0</v>
      </c>
      <c r="S135" s="825">
        <f>'Overflow (3)'!G97</f>
        <v>0</v>
      </c>
      <c r="T135" s="826">
        <f t="shared" si="25"/>
        <v>0</v>
      </c>
      <c r="U135" s="860">
        <f>LOOKUP('Overflow (3)'!$C43,Cities!$A$3:$A$356,Cities!$D$3:$D$356)</f>
        <v>0</v>
      </c>
      <c r="V135" s="861">
        <f t="shared" si="26"/>
        <v>0</v>
      </c>
    </row>
    <row r="136" spans="1:22" x14ac:dyDescent="0.2">
      <c r="A136" s="271">
        <f>LOOKUP('Overflow (3)'!$C44,Cities!$A$3:$A$356,Cities!$C$3:$C$356)</f>
        <v>0</v>
      </c>
      <c r="B136" s="959">
        <f>'Print Return'!L$37</f>
        <v>0</v>
      </c>
      <c r="C136" s="858">
        <f>'Overflow (3)'!$M44</f>
        <v>0</v>
      </c>
      <c r="D136" s="859">
        <f t="shared" si="18"/>
        <v>0</v>
      </c>
      <c r="E136" s="825">
        <f>'Overflow (3)'!G98</f>
        <v>0</v>
      </c>
      <c r="F136" s="826">
        <f t="shared" si="19"/>
        <v>0</v>
      </c>
      <c r="G136" s="960">
        <f t="shared" si="20"/>
        <v>0</v>
      </c>
      <c r="H136" s="122">
        <f>'Print Return'!L$41</f>
        <v>0</v>
      </c>
      <c r="I136" s="293">
        <f>IF('Overflow (3)'!O44&lt;2015,MIN(G136,H136)/2,MIN(G136,H136))</f>
        <v>0</v>
      </c>
      <c r="J136" s="960">
        <f t="shared" si="21"/>
        <v>0</v>
      </c>
      <c r="K136" s="293">
        <f t="shared" si="22"/>
        <v>0</v>
      </c>
      <c r="L136" s="860">
        <f>LOOKUP('Overflow (3)'!$C44,Cities!$A$3:$A$356,Cities!$D$3:$D$356)</f>
        <v>0</v>
      </c>
      <c r="M136" s="861">
        <f t="shared" si="23"/>
        <v>0</v>
      </c>
      <c r="O136" s="271">
        <f>LOOKUP('Overflow (3)'!$C44,Cities!$A$3:$A$356,Cities!$C$3:$C$356)</f>
        <v>0</v>
      </c>
      <c r="P136" s="857">
        <f>IF('Overflow (3)'!O44&lt;2015,'Print Return'!L$45,J136)</f>
        <v>0</v>
      </c>
      <c r="Q136" s="858">
        <f>'Overflow (3)'!$M44</f>
        <v>0</v>
      </c>
      <c r="R136" s="859">
        <f t="shared" si="24"/>
        <v>0</v>
      </c>
      <c r="S136" s="825">
        <f>'Overflow (3)'!G98</f>
        <v>0</v>
      </c>
      <c r="T136" s="826">
        <f t="shared" si="25"/>
        <v>0</v>
      </c>
      <c r="U136" s="860">
        <f>LOOKUP('Overflow (3)'!$C44,Cities!$A$3:$A$356,Cities!$D$3:$D$356)</f>
        <v>0</v>
      </c>
      <c r="V136" s="861">
        <f t="shared" si="26"/>
        <v>0</v>
      </c>
    </row>
    <row r="137" spans="1:22" x14ac:dyDescent="0.2">
      <c r="A137" s="271">
        <f>LOOKUP('Overflow (3)'!$C45,Cities!$A$3:$A$356,Cities!$C$3:$C$356)</f>
        <v>0</v>
      </c>
      <c r="B137" s="959">
        <f>'Print Return'!L$37</f>
        <v>0</v>
      </c>
      <c r="C137" s="858">
        <f>'Overflow (3)'!$M45</f>
        <v>0</v>
      </c>
      <c r="D137" s="859">
        <f t="shared" si="18"/>
        <v>0</v>
      </c>
      <c r="E137" s="825">
        <f>'Overflow (3)'!G99</f>
        <v>0</v>
      </c>
      <c r="F137" s="826">
        <f t="shared" si="19"/>
        <v>0</v>
      </c>
      <c r="G137" s="960">
        <f t="shared" si="20"/>
        <v>0</v>
      </c>
      <c r="H137" s="122">
        <f>'Print Return'!L$41</f>
        <v>0</v>
      </c>
      <c r="I137" s="293">
        <f>IF('Overflow (3)'!O45&lt;2015,MIN(G137,H137)/2,MIN(G137,H137))</f>
        <v>0</v>
      </c>
      <c r="J137" s="960">
        <f t="shared" si="21"/>
        <v>0</v>
      </c>
      <c r="K137" s="293">
        <f t="shared" si="22"/>
        <v>0</v>
      </c>
      <c r="L137" s="860">
        <f>LOOKUP('Overflow (3)'!$C45,Cities!$A$3:$A$356,Cities!$D$3:$D$356)</f>
        <v>0</v>
      </c>
      <c r="M137" s="861">
        <f t="shared" si="23"/>
        <v>0</v>
      </c>
      <c r="O137" s="271">
        <f>LOOKUP('Overflow (3)'!$C45,Cities!$A$3:$A$356,Cities!$C$3:$C$356)</f>
        <v>0</v>
      </c>
      <c r="P137" s="857">
        <f>IF('Overflow (3)'!O45&lt;2015,'Print Return'!L$45,J137)</f>
        <v>0</v>
      </c>
      <c r="Q137" s="858">
        <f>'Overflow (3)'!$M45</f>
        <v>0</v>
      </c>
      <c r="R137" s="859">
        <f t="shared" si="24"/>
        <v>0</v>
      </c>
      <c r="S137" s="825">
        <f>'Overflow (3)'!G99</f>
        <v>0</v>
      </c>
      <c r="T137" s="826">
        <f t="shared" si="25"/>
        <v>0</v>
      </c>
      <c r="U137" s="860">
        <f>LOOKUP('Overflow (3)'!$C45,Cities!$A$3:$A$356,Cities!$D$3:$D$356)</f>
        <v>0</v>
      </c>
      <c r="V137" s="861">
        <f t="shared" si="26"/>
        <v>0</v>
      </c>
    </row>
    <row r="138" spans="1:22" x14ac:dyDescent="0.2">
      <c r="A138" s="271">
        <f>LOOKUP('Overflow (3)'!$C46,Cities!$A$3:$A$356,Cities!$C$3:$C$356)</f>
        <v>0</v>
      </c>
      <c r="B138" s="959">
        <f>'Print Return'!L$37</f>
        <v>0</v>
      </c>
      <c r="C138" s="858">
        <f>'Overflow (3)'!$M46</f>
        <v>0</v>
      </c>
      <c r="D138" s="859">
        <f t="shared" si="18"/>
        <v>0</v>
      </c>
      <c r="E138" s="825">
        <f>'Overflow (3)'!G100</f>
        <v>0</v>
      </c>
      <c r="F138" s="826">
        <f t="shared" si="19"/>
        <v>0</v>
      </c>
      <c r="G138" s="960">
        <f t="shared" si="20"/>
        <v>0</v>
      </c>
      <c r="H138" s="122">
        <f>'Print Return'!L$41</f>
        <v>0</v>
      </c>
      <c r="I138" s="293">
        <f>IF('Overflow (3)'!O46&lt;2015,MIN(G138,H138)/2,MIN(G138,H138))</f>
        <v>0</v>
      </c>
      <c r="J138" s="960">
        <f t="shared" si="21"/>
        <v>0</v>
      </c>
      <c r="K138" s="293">
        <f t="shared" si="22"/>
        <v>0</v>
      </c>
      <c r="L138" s="860">
        <f>LOOKUP('Overflow (3)'!$C46,Cities!$A$3:$A$356,Cities!$D$3:$D$356)</f>
        <v>0</v>
      </c>
      <c r="M138" s="861">
        <f t="shared" si="23"/>
        <v>0</v>
      </c>
      <c r="O138" s="271">
        <f>LOOKUP('Overflow (3)'!$C46,Cities!$A$3:$A$356,Cities!$C$3:$C$356)</f>
        <v>0</v>
      </c>
      <c r="P138" s="857">
        <f>IF('Overflow (3)'!O46&lt;2015,'Print Return'!L$45,J138)</f>
        <v>0</v>
      </c>
      <c r="Q138" s="858">
        <f>'Overflow (3)'!$M46</f>
        <v>0</v>
      </c>
      <c r="R138" s="859">
        <f t="shared" si="24"/>
        <v>0</v>
      </c>
      <c r="S138" s="825">
        <f>'Overflow (3)'!G100</f>
        <v>0</v>
      </c>
      <c r="T138" s="826">
        <f t="shared" si="25"/>
        <v>0</v>
      </c>
      <c r="U138" s="860">
        <f>LOOKUP('Overflow (3)'!$C46,Cities!$A$3:$A$356,Cities!$D$3:$D$356)</f>
        <v>0</v>
      </c>
      <c r="V138" s="861">
        <f t="shared" si="26"/>
        <v>0</v>
      </c>
    </row>
    <row r="139" spans="1:22" x14ac:dyDescent="0.2">
      <c r="A139" s="271">
        <f>LOOKUP('Overflow (3)'!$C47,Cities!$A$3:$A$356,Cities!$C$3:$C$356)</f>
        <v>0</v>
      </c>
      <c r="B139" s="959">
        <f>'Print Return'!L$37</f>
        <v>0</v>
      </c>
      <c r="C139" s="858">
        <f>'Overflow (3)'!$M47</f>
        <v>0</v>
      </c>
      <c r="D139" s="859">
        <f t="shared" si="18"/>
        <v>0</v>
      </c>
      <c r="E139" s="825">
        <f>'Overflow (3)'!G101</f>
        <v>0</v>
      </c>
      <c r="F139" s="826">
        <f t="shared" si="19"/>
        <v>0</v>
      </c>
      <c r="G139" s="960">
        <f t="shared" si="20"/>
        <v>0</v>
      </c>
      <c r="H139" s="122">
        <f>'Print Return'!L$41</f>
        <v>0</v>
      </c>
      <c r="I139" s="293">
        <f>IF('Overflow (3)'!O47&lt;2015,MIN(G139,H139)/2,MIN(G139,H139))</f>
        <v>0</v>
      </c>
      <c r="J139" s="960">
        <f t="shared" si="21"/>
        <v>0</v>
      </c>
      <c r="K139" s="293">
        <f t="shared" si="22"/>
        <v>0</v>
      </c>
      <c r="L139" s="860">
        <f>LOOKUP('Overflow (3)'!$C47,Cities!$A$3:$A$356,Cities!$D$3:$D$356)</f>
        <v>0</v>
      </c>
      <c r="M139" s="861">
        <f t="shared" si="23"/>
        <v>0</v>
      </c>
      <c r="O139" s="271">
        <f>LOOKUP('Overflow (3)'!$C47,Cities!$A$3:$A$356,Cities!$C$3:$C$356)</f>
        <v>0</v>
      </c>
      <c r="P139" s="857">
        <f>IF('Overflow (3)'!O47&lt;2015,'Print Return'!L$45,J139)</f>
        <v>0</v>
      </c>
      <c r="Q139" s="858">
        <f>'Overflow (3)'!$M47</f>
        <v>0</v>
      </c>
      <c r="R139" s="859">
        <f t="shared" si="24"/>
        <v>0</v>
      </c>
      <c r="S139" s="825">
        <f>'Overflow (3)'!G101</f>
        <v>0</v>
      </c>
      <c r="T139" s="826">
        <f t="shared" si="25"/>
        <v>0</v>
      </c>
      <c r="U139" s="860">
        <f>LOOKUP('Overflow (3)'!$C47,Cities!$A$3:$A$356,Cities!$D$3:$D$356)</f>
        <v>0</v>
      </c>
      <c r="V139" s="861">
        <f t="shared" si="26"/>
        <v>0</v>
      </c>
    </row>
    <row r="140" spans="1:22" x14ac:dyDescent="0.2">
      <c r="A140" s="271">
        <f>LOOKUP('Overflow (3)'!$C48,Cities!$A$3:$A$356,Cities!$C$3:$C$356)</f>
        <v>0</v>
      </c>
      <c r="B140" s="959">
        <f>'Print Return'!L$37</f>
        <v>0</v>
      </c>
      <c r="C140" s="858">
        <f>'Overflow (3)'!$M48</f>
        <v>0</v>
      </c>
      <c r="D140" s="859">
        <f t="shared" si="18"/>
        <v>0</v>
      </c>
      <c r="E140" s="825">
        <f>'Overflow (3)'!G102</f>
        <v>0</v>
      </c>
      <c r="F140" s="826">
        <f t="shared" si="19"/>
        <v>0</v>
      </c>
      <c r="G140" s="960">
        <f t="shared" si="20"/>
        <v>0</v>
      </c>
      <c r="H140" s="122">
        <f>'Print Return'!L$41</f>
        <v>0</v>
      </c>
      <c r="I140" s="293">
        <f>IF('Overflow (3)'!O48&lt;2015,MIN(G140,H140)/2,MIN(G140,H140))</f>
        <v>0</v>
      </c>
      <c r="J140" s="960">
        <f t="shared" si="21"/>
        <v>0</v>
      </c>
      <c r="K140" s="293">
        <f t="shared" si="22"/>
        <v>0</v>
      </c>
      <c r="L140" s="860">
        <f>LOOKUP('Overflow (3)'!$C48,Cities!$A$3:$A$356,Cities!$D$3:$D$356)</f>
        <v>0</v>
      </c>
      <c r="M140" s="861">
        <f t="shared" si="23"/>
        <v>0</v>
      </c>
      <c r="O140" s="271">
        <f>LOOKUP('Overflow (3)'!$C48,Cities!$A$3:$A$356,Cities!$C$3:$C$356)</f>
        <v>0</v>
      </c>
      <c r="P140" s="857">
        <f>IF('Overflow (3)'!O48&lt;2015,'Print Return'!L$45,J140)</f>
        <v>0</v>
      </c>
      <c r="Q140" s="858">
        <f>'Overflow (3)'!$M48</f>
        <v>0</v>
      </c>
      <c r="R140" s="859">
        <f t="shared" si="24"/>
        <v>0</v>
      </c>
      <c r="S140" s="825">
        <f>'Overflow (3)'!G102</f>
        <v>0</v>
      </c>
      <c r="T140" s="826">
        <f t="shared" si="25"/>
        <v>0</v>
      </c>
      <c r="U140" s="860">
        <f>LOOKUP('Overflow (3)'!$C48,Cities!$A$3:$A$356,Cities!$D$3:$D$356)</f>
        <v>0</v>
      </c>
      <c r="V140" s="861">
        <f t="shared" si="26"/>
        <v>0</v>
      </c>
    </row>
    <row r="141" spans="1:22" x14ac:dyDescent="0.2">
      <c r="A141" s="271">
        <f>LOOKUP('Overflow (3)'!$C49,Cities!$A$3:$A$356,Cities!$C$3:$C$356)</f>
        <v>0</v>
      </c>
      <c r="B141" s="959">
        <f>'Print Return'!L$37</f>
        <v>0</v>
      </c>
      <c r="C141" s="858">
        <f>'Overflow (3)'!$M49</f>
        <v>0</v>
      </c>
      <c r="D141" s="859">
        <f t="shared" si="18"/>
        <v>0</v>
      </c>
      <c r="E141" s="825">
        <f>'Overflow (3)'!G103</f>
        <v>0</v>
      </c>
      <c r="F141" s="826">
        <f t="shared" si="19"/>
        <v>0</v>
      </c>
      <c r="G141" s="960">
        <f t="shared" si="20"/>
        <v>0</v>
      </c>
      <c r="H141" s="122">
        <f>'Print Return'!L$41</f>
        <v>0</v>
      </c>
      <c r="I141" s="293">
        <f>IF('Overflow (3)'!O49&lt;2015,MIN(G141,H141)/2,MIN(G141,H141))</f>
        <v>0</v>
      </c>
      <c r="J141" s="960">
        <f t="shared" si="21"/>
        <v>0</v>
      </c>
      <c r="K141" s="293">
        <f t="shared" si="22"/>
        <v>0</v>
      </c>
      <c r="L141" s="860">
        <f>LOOKUP('Overflow (3)'!$C49,Cities!$A$3:$A$356,Cities!$D$3:$D$356)</f>
        <v>0</v>
      </c>
      <c r="M141" s="861">
        <f t="shared" si="23"/>
        <v>0</v>
      </c>
      <c r="O141" s="271">
        <f>LOOKUP('Overflow (3)'!$C49,Cities!$A$3:$A$356,Cities!$C$3:$C$356)</f>
        <v>0</v>
      </c>
      <c r="P141" s="857">
        <f>IF('Overflow (3)'!O49&lt;2015,'Print Return'!L$45,J141)</f>
        <v>0</v>
      </c>
      <c r="Q141" s="858">
        <f>'Overflow (3)'!$M49</f>
        <v>0</v>
      </c>
      <c r="R141" s="859">
        <f t="shared" si="24"/>
        <v>0</v>
      </c>
      <c r="S141" s="825">
        <f>'Overflow (3)'!G103</f>
        <v>0</v>
      </c>
      <c r="T141" s="826">
        <f t="shared" si="25"/>
        <v>0</v>
      </c>
      <c r="U141" s="860">
        <f>LOOKUP('Overflow (3)'!$C49,Cities!$A$3:$A$356,Cities!$D$3:$D$356)</f>
        <v>0</v>
      </c>
      <c r="V141" s="861">
        <f t="shared" si="26"/>
        <v>0</v>
      </c>
    </row>
    <row r="142" spans="1:22" x14ac:dyDescent="0.2">
      <c r="A142" s="271">
        <f>LOOKUP('Overflow (3)'!$C50,Cities!$A$3:$A$356,Cities!$C$3:$C$356)</f>
        <v>0</v>
      </c>
      <c r="B142" s="959">
        <f>'Print Return'!L$37</f>
        <v>0</v>
      </c>
      <c r="C142" s="858">
        <f>'Overflow (3)'!$M50</f>
        <v>0</v>
      </c>
      <c r="D142" s="859">
        <f t="shared" si="18"/>
        <v>0</v>
      </c>
      <c r="E142" s="825">
        <f>'Overflow (3)'!G104</f>
        <v>0</v>
      </c>
      <c r="F142" s="826">
        <f t="shared" si="19"/>
        <v>0</v>
      </c>
      <c r="G142" s="960">
        <f t="shared" si="20"/>
        <v>0</v>
      </c>
      <c r="H142" s="122">
        <f>'Print Return'!L$41</f>
        <v>0</v>
      </c>
      <c r="I142" s="293">
        <f>IF('Overflow (3)'!O50&lt;2015,MIN(G142,H142)/2,MIN(G142,H142))</f>
        <v>0</v>
      </c>
      <c r="J142" s="960">
        <f t="shared" si="21"/>
        <v>0</v>
      </c>
      <c r="K142" s="293">
        <f t="shared" si="22"/>
        <v>0</v>
      </c>
      <c r="L142" s="860">
        <f>LOOKUP('Overflow (3)'!$C50,Cities!$A$3:$A$356,Cities!$D$3:$D$356)</f>
        <v>0</v>
      </c>
      <c r="M142" s="861">
        <f t="shared" si="23"/>
        <v>0</v>
      </c>
      <c r="O142" s="271">
        <f>LOOKUP('Overflow (3)'!$C50,Cities!$A$3:$A$356,Cities!$C$3:$C$356)</f>
        <v>0</v>
      </c>
      <c r="P142" s="857">
        <f>IF('Overflow (3)'!O50&lt;2015,'Print Return'!L$45,J142)</f>
        <v>0</v>
      </c>
      <c r="Q142" s="858">
        <f>'Overflow (3)'!$M50</f>
        <v>0</v>
      </c>
      <c r="R142" s="859">
        <f t="shared" si="24"/>
        <v>0</v>
      </c>
      <c r="S142" s="825">
        <f>'Overflow (3)'!G104</f>
        <v>0</v>
      </c>
      <c r="T142" s="826">
        <f t="shared" si="25"/>
        <v>0</v>
      </c>
      <c r="U142" s="860">
        <f>LOOKUP('Overflow (3)'!$C50,Cities!$A$3:$A$356,Cities!$D$3:$D$356)</f>
        <v>0</v>
      </c>
      <c r="V142" s="861">
        <f t="shared" si="26"/>
        <v>0</v>
      </c>
    </row>
    <row r="143" spans="1:22" x14ac:dyDescent="0.2">
      <c r="A143" s="271">
        <f>LOOKUP('Overflow (3)'!$C51,Cities!$A$3:$A$356,Cities!$C$3:$C$356)</f>
        <v>0</v>
      </c>
      <c r="B143" s="959">
        <f>'Print Return'!L$37</f>
        <v>0</v>
      </c>
      <c r="C143" s="858">
        <f>'Overflow (3)'!$M51</f>
        <v>0</v>
      </c>
      <c r="D143" s="859">
        <f t="shared" si="18"/>
        <v>0</v>
      </c>
      <c r="E143" s="825">
        <f>'Overflow (3)'!G105</f>
        <v>0</v>
      </c>
      <c r="F143" s="826">
        <f t="shared" si="19"/>
        <v>0</v>
      </c>
      <c r="G143" s="960">
        <f t="shared" si="20"/>
        <v>0</v>
      </c>
      <c r="H143" s="122">
        <f>'Print Return'!L$41</f>
        <v>0</v>
      </c>
      <c r="I143" s="293">
        <f>IF('Overflow (3)'!O51&lt;2015,MIN(G143,H143)/2,MIN(G143,H143))</f>
        <v>0</v>
      </c>
      <c r="J143" s="960">
        <f t="shared" si="21"/>
        <v>0</v>
      </c>
      <c r="K143" s="293">
        <f t="shared" si="22"/>
        <v>0</v>
      </c>
      <c r="L143" s="860">
        <f>LOOKUP('Overflow (3)'!$C51,Cities!$A$3:$A$356,Cities!$D$3:$D$356)</f>
        <v>0</v>
      </c>
      <c r="M143" s="861">
        <f t="shared" si="23"/>
        <v>0</v>
      </c>
      <c r="O143" s="271">
        <f>LOOKUP('Overflow (3)'!$C51,Cities!$A$3:$A$356,Cities!$C$3:$C$356)</f>
        <v>0</v>
      </c>
      <c r="P143" s="857">
        <f>IF('Overflow (3)'!O51&lt;2015,'Print Return'!L$45,J143)</f>
        <v>0</v>
      </c>
      <c r="Q143" s="858">
        <f>'Overflow (3)'!$M51</f>
        <v>0</v>
      </c>
      <c r="R143" s="859">
        <f t="shared" si="24"/>
        <v>0</v>
      </c>
      <c r="S143" s="825">
        <f>'Overflow (3)'!G105</f>
        <v>0</v>
      </c>
      <c r="T143" s="826">
        <f t="shared" si="25"/>
        <v>0</v>
      </c>
      <c r="U143" s="860">
        <f>LOOKUP('Overflow (3)'!$C51,Cities!$A$3:$A$356,Cities!$D$3:$D$356)</f>
        <v>0</v>
      </c>
      <c r="V143" s="861">
        <f t="shared" si="26"/>
        <v>0</v>
      </c>
    </row>
    <row r="144" spans="1:22" x14ac:dyDescent="0.2">
      <c r="A144" s="271">
        <f>LOOKUP('Overflow (3)'!$C52,Cities!$A$3:$A$356,Cities!$C$3:$C$356)</f>
        <v>0</v>
      </c>
      <c r="B144" s="959">
        <f>'Print Return'!L$37</f>
        <v>0</v>
      </c>
      <c r="C144" s="858">
        <f>'Overflow (3)'!$M52</f>
        <v>0</v>
      </c>
      <c r="D144" s="859">
        <f t="shared" si="18"/>
        <v>0</v>
      </c>
      <c r="E144" s="825">
        <f>'Overflow (3)'!G106</f>
        <v>0</v>
      </c>
      <c r="F144" s="826">
        <f t="shared" si="19"/>
        <v>0</v>
      </c>
      <c r="G144" s="960">
        <f t="shared" si="20"/>
        <v>0</v>
      </c>
      <c r="H144" s="122">
        <f>'Print Return'!L$41</f>
        <v>0</v>
      </c>
      <c r="I144" s="293">
        <f>IF('Overflow (3)'!O52&lt;2015,MIN(G144,H144)/2,MIN(G144,H144))</f>
        <v>0</v>
      </c>
      <c r="J144" s="960">
        <f t="shared" si="21"/>
        <v>0</v>
      </c>
      <c r="K144" s="293">
        <f t="shared" si="22"/>
        <v>0</v>
      </c>
      <c r="L144" s="860">
        <f>LOOKUP('Overflow (3)'!$C52,Cities!$A$3:$A$356,Cities!$D$3:$D$356)</f>
        <v>0</v>
      </c>
      <c r="M144" s="861">
        <f t="shared" si="23"/>
        <v>0</v>
      </c>
      <c r="O144" s="271">
        <f>LOOKUP('Overflow (3)'!$C52,Cities!$A$3:$A$356,Cities!$C$3:$C$356)</f>
        <v>0</v>
      </c>
      <c r="P144" s="857">
        <f>IF('Overflow (3)'!O52&lt;2015,'Print Return'!L$45,J144)</f>
        <v>0</v>
      </c>
      <c r="Q144" s="858">
        <f>'Overflow (3)'!$M52</f>
        <v>0</v>
      </c>
      <c r="R144" s="859">
        <f t="shared" si="24"/>
        <v>0</v>
      </c>
      <c r="S144" s="825">
        <f>'Overflow (3)'!G106</f>
        <v>0</v>
      </c>
      <c r="T144" s="826">
        <f t="shared" si="25"/>
        <v>0</v>
      </c>
      <c r="U144" s="860">
        <f>LOOKUP('Overflow (3)'!$C52,Cities!$A$3:$A$356,Cities!$D$3:$D$356)</f>
        <v>0</v>
      </c>
      <c r="V144" s="861">
        <f t="shared" si="26"/>
        <v>0</v>
      </c>
    </row>
    <row r="145" spans="1:25" x14ac:dyDescent="0.2">
      <c r="A145" s="271">
        <f>LOOKUP('Overflow (3)'!$C53,Cities!$A$3:$A$356,Cities!$C$3:$C$356)</f>
        <v>0</v>
      </c>
      <c r="B145" s="959">
        <f>'Print Return'!L$37</f>
        <v>0</v>
      </c>
      <c r="C145" s="858">
        <f>'Overflow (3)'!$M53</f>
        <v>0</v>
      </c>
      <c r="D145" s="859">
        <f t="shared" si="18"/>
        <v>0</v>
      </c>
      <c r="E145" s="825">
        <f>'Overflow (3)'!G107</f>
        <v>0</v>
      </c>
      <c r="F145" s="826">
        <f t="shared" si="19"/>
        <v>0</v>
      </c>
      <c r="G145" s="960">
        <f t="shared" si="20"/>
        <v>0</v>
      </c>
      <c r="H145" s="122">
        <f>'Print Return'!L$41</f>
        <v>0</v>
      </c>
      <c r="I145" s="293">
        <f>IF('Overflow (3)'!O53&lt;2015,MIN(G145,H145)/2,MIN(G145,H145))</f>
        <v>0</v>
      </c>
      <c r="J145" s="960">
        <f t="shared" si="21"/>
        <v>0</v>
      </c>
      <c r="K145" s="293">
        <f t="shared" si="22"/>
        <v>0</v>
      </c>
      <c r="L145" s="860">
        <f>LOOKUP('Overflow (3)'!$C53,Cities!$A$3:$A$356,Cities!$D$3:$D$356)</f>
        <v>0</v>
      </c>
      <c r="M145" s="861">
        <f t="shared" si="23"/>
        <v>0</v>
      </c>
      <c r="O145" s="271">
        <f>LOOKUP('Overflow (3)'!$C53,Cities!$A$3:$A$356,Cities!$C$3:$C$356)</f>
        <v>0</v>
      </c>
      <c r="P145" s="857">
        <f>IF('Overflow (3)'!O53&lt;2015,'Print Return'!L$45,J145)</f>
        <v>0</v>
      </c>
      <c r="Q145" s="858">
        <f>'Overflow (3)'!$M53</f>
        <v>0</v>
      </c>
      <c r="R145" s="859">
        <f t="shared" si="24"/>
        <v>0</v>
      </c>
      <c r="S145" s="825">
        <f>'Overflow (3)'!G107</f>
        <v>0</v>
      </c>
      <c r="T145" s="826">
        <f t="shared" si="25"/>
        <v>0</v>
      </c>
      <c r="U145" s="860">
        <f>LOOKUP('Overflow (3)'!$C53,Cities!$A$3:$A$356,Cities!$D$3:$D$356)</f>
        <v>0</v>
      </c>
      <c r="V145" s="861">
        <f t="shared" si="26"/>
        <v>0</v>
      </c>
    </row>
    <row r="146" spans="1:25" x14ac:dyDescent="0.2">
      <c r="A146" s="271">
        <f>LOOKUP('Overflow (3)'!$C54,Cities!$A$3:$A$356,Cities!$C$3:$C$356)</f>
        <v>0</v>
      </c>
      <c r="B146" s="959">
        <f>'Print Return'!L$37</f>
        <v>0</v>
      </c>
      <c r="C146" s="858">
        <f>'Overflow (3)'!$M54</f>
        <v>0</v>
      </c>
      <c r="D146" s="859">
        <f t="shared" si="18"/>
        <v>0</v>
      </c>
      <c r="E146" s="825">
        <f>'Overflow (3)'!G108</f>
        <v>0</v>
      </c>
      <c r="F146" s="826">
        <f t="shared" si="19"/>
        <v>0</v>
      </c>
      <c r="G146" s="960">
        <f t="shared" si="20"/>
        <v>0</v>
      </c>
      <c r="H146" s="122">
        <f>'Print Return'!L$41</f>
        <v>0</v>
      </c>
      <c r="I146" s="293">
        <f>IF('Overflow (3)'!O54&lt;2015,MIN(G146,H146)/2,MIN(G146,H146))</f>
        <v>0</v>
      </c>
      <c r="J146" s="960">
        <f t="shared" si="21"/>
        <v>0</v>
      </c>
      <c r="K146" s="293">
        <f t="shared" si="22"/>
        <v>0</v>
      </c>
      <c r="L146" s="860">
        <f>LOOKUP('Overflow (3)'!$C54,Cities!$A$3:$A$356,Cities!$D$3:$D$356)</f>
        <v>0</v>
      </c>
      <c r="M146" s="861">
        <f t="shared" si="23"/>
        <v>0</v>
      </c>
      <c r="O146" s="271">
        <f>LOOKUP('Overflow (3)'!$C54,Cities!$A$3:$A$356,Cities!$C$3:$C$356)</f>
        <v>0</v>
      </c>
      <c r="P146" s="857">
        <f>IF('Overflow (3)'!O54&lt;2015,'Print Return'!L$45,J146)</f>
        <v>0</v>
      </c>
      <c r="Q146" s="858">
        <f>'Overflow (3)'!$M54</f>
        <v>0</v>
      </c>
      <c r="R146" s="859">
        <f t="shared" si="24"/>
        <v>0</v>
      </c>
      <c r="S146" s="825">
        <f>'Overflow (3)'!G108</f>
        <v>0</v>
      </c>
      <c r="T146" s="826">
        <f t="shared" si="25"/>
        <v>0</v>
      </c>
      <c r="U146" s="860">
        <f>LOOKUP('Overflow (3)'!$C54,Cities!$A$3:$A$356,Cities!$D$3:$D$356)</f>
        <v>0</v>
      </c>
      <c r="V146" s="861">
        <f t="shared" si="26"/>
        <v>0</v>
      </c>
    </row>
    <row r="147" spans="1:25" x14ac:dyDescent="0.2">
      <c r="A147" s="271">
        <f>LOOKUP('Overflow (3)'!$C55,Cities!$A$3:$A$356,Cities!$C$3:$C$356)</f>
        <v>0</v>
      </c>
      <c r="B147" s="959">
        <f>'Print Return'!L$37</f>
        <v>0</v>
      </c>
      <c r="C147" s="858">
        <f>'Overflow (3)'!$M55</f>
        <v>0</v>
      </c>
      <c r="D147" s="859">
        <f t="shared" si="18"/>
        <v>0</v>
      </c>
      <c r="E147" s="825">
        <f>'Overflow (3)'!G109</f>
        <v>0</v>
      </c>
      <c r="F147" s="826">
        <f t="shared" si="19"/>
        <v>0</v>
      </c>
      <c r="G147" s="960">
        <f t="shared" si="20"/>
        <v>0</v>
      </c>
      <c r="H147" s="122">
        <f>'Print Return'!L$41</f>
        <v>0</v>
      </c>
      <c r="I147" s="293">
        <f>IF('Overflow (3)'!O55&lt;2015,MIN(G147,H147)/2,MIN(G147,H147))</f>
        <v>0</v>
      </c>
      <c r="J147" s="960">
        <f t="shared" si="21"/>
        <v>0</v>
      </c>
      <c r="K147" s="293">
        <f t="shared" si="22"/>
        <v>0</v>
      </c>
      <c r="L147" s="860">
        <f>LOOKUP('Overflow (3)'!$C55,Cities!$A$3:$A$356,Cities!$D$3:$D$356)</f>
        <v>0</v>
      </c>
      <c r="M147" s="861">
        <f t="shared" si="23"/>
        <v>0</v>
      </c>
      <c r="O147" s="271">
        <f>LOOKUP('Overflow (3)'!$C55,Cities!$A$3:$A$356,Cities!$C$3:$C$356)</f>
        <v>0</v>
      </c>
      <c r="P147" s="857">
        <f>IF('Overflow (3)'!O55&lt;2015,'Print Return'!L$45,J147)</f>
        <v>0</v>
      </c>
      <c r="Q147" s="858">
        <f>'Overflow (3)'!$M55</f>
        <v>0</v>
      </c>
      <c r="R147" s="859">
        <f t="shared" si="24"/>
        <v>0</v>
      </c>
      <c r="S147" s="825">
        <f>'Overflow (3)'!G109</f>
        <v>0</v>
      </c>
      <c r="T147" s="826">
        <f t="shared" si="25"/>
        <v>0</v>
      </c>
      <c r="U147" s="860">
        <f>LOOKUP('Overflow (3)'!$C55,Cities!$A$3:$A$356,Cities!$D$3:$D$356)</f>
        <v>0</v>
      </c>
      <c r="V147" s="861">
        <f t="shared" si="26"/>
        <v>0</v>
      </c>
    </row>
    <row r="148" spans="1:25" x14ac:dyDescent="0.2">
      <c r="A148" s="271">
        <f>LOOKUP('Overflow (3)'!$C56,Cities!$A$3:$A$356,Cities!$C$3:$C$356)</f>
        <v>0</v>
      </c>
      <c r="B148" s="959">
        <f>'Print Return'!L$37</f>
        <v>0</v>
      </c>
      <c r="C148" s="858">
        <f>'Overflow (3)'!$M56</f>
        <v>0</v>
      </c>
      <c r="D148" s="859">
        <f t="shared" si="18"/>
        <v>0</v>
      </c>
      <c r="E148" s="825">
        <f>'Overflow (3)'!G110</f>
        <v>0</v>
      </c>
      <c r="F148" s="826">
        <f t="shared" si="19"/>
        <v>0</v>
      </c>
      <c r="G148" s="960">
        <f t="shared" si="20"/>
        <v>0</v>
      </c>
      <c r="H148" s="122">
        <f>'Print Return'!L$41</f>
        <v>0</v>
      </c>
      <c r="I148" s="293">
        <f>IF('Overflow (3)'!O56&lt;2015,MIN(G148,H148)/2,MIN(G148,H148))</f>
        <v>0</v>
      </c>
      <c r="J148" s="960">
        <f t="shared" si="21"/>
        <v>0</v>
      </c>
      <c r="K148" s="293">
        <f t="shared" si="22"/>
        <v>0</v>
      </c>
      <c r="L148" s="860">
        <f>LOOKUP('Overflow (3)'!$C56,Cities!$A$3:$A$356,Cities!$D$3:$D$356)</f>
        <v>0</v>
      </c>
      <c r="M148" s="861">
        <f t="shared" si="23"/>
        <v>0</v>
      </c>
      <c r="O148" s="271">
        <f>LOOKUP('Overflow (3)'!$C56,Cities!$A$3:$A$356,Cities!$C$3:$C$356)</f>
        <v>0</v>
      </c>
      <c r="P148" s="857">
        <f>IF('Overflow (3)'!O56&lt;2015,'Print Return'!L$45,J148)</f>
        <v>0</v>
      </c>
      <c r="Q148" s="858">
        <f>'Overflow (3)'!$M56</f>
        <v>0</v>
      </c>
      <c r="R148" s="859">
        <f t="shared" si="24"/>
        <v>0</v>
      </c>
      <c r="S148" s="825">
        <f>'Overflow (3)'!G110</f>
        <v>0</v>
      </c>
      <c r="T148" s="826">
        <f t="shared" si="25"/>
        <v>0</v>
      </c>
      <c r="U148" s="860">
        <f>LOOKUP('Overflow (3)'!$C56,Cities!$A$3:$A$356,Cities!$D$3:$D$356)</f>
        <v>0</v>
      </c>
      <c r="V148" s="861">
        <f t="shared" si="26"/>
        <v>0</v>
      </c>
    </row>
    <row r="149" spans="1:25" x14ac:dyDescent="0.2">
      <c r="A149" s="306"/>
      <c r="B149" s="16"/>
      <c r="C149" s="16"/>
      <c r="D149" s="16"/>
      <c r="E149" s="16"/>
      <c r="F149" s="16"/>
      <c r="G149" s="16"/>
      <c r="H149" s="16"/>
      <c r="I149" s="16"/>
      <c r="J149" s="16"/>
      <c r="K149" s="16"/>
      <c r="L149" s="16"/>
      <c r="M149" s="264"/>
      <c r="O149" s="306"/>
      <c r="P149" s="16"/>
      <c r="Q149" s="16"/>
      <c r="R149" s="16"/>
      <c r="S149" s="16"/>
      <c r="T149" s="16"/>
      <c r="U149" s="16"/>
      <c r="V149" s="264"/>
    </row>
    <row r="150" spans="1:25" ht="13.5" thickBot="1" x14ac:dyDescent="0.25">
      <c r="A150" s="267" t="s">
        <v>1714</v>
      </c>
      <c r="B150" s="862"/>
      <c r="C150" s="920">
        <f>SUM(C104:C148)</f>
        <v>0</v>
      </c>
      <c r="D150" s="862"/>
      <c r="E150" s="863">
        <f>SUM(E104:E148)</f>
        <v>0</v>
      </c>
      <c r="F150" s="862"/>
      <c r="G150" s="862"/>
      <c r="H150" s="862"/>
      <c r="I150" s="862"/>
      <c r="J150" s="862"/>
      <c r="K150" s="865">
        <f>SUM(K104:K148)</f>
        <v>0</v>
      </c>
      <c r="L150" s="862"/>
      <c r="M150" s="864">
        <f>ROUND(SUMIF(M104:M148,"&gt;10"),0)</f>
        <v>0</v>
      </c>
      <c r="N150" s="1"/>
      <c r="O150" s="267"/>
      <c r="P150" s="862"/>
      <c r="Q150" s="892">
        <f>SUM(Q104:Q148)</f>
        <v>0</v>
      </c>
      <c r="R150" s="862"/>
      <c r="S150" s="863">
        <f>SUM(S104:S148)</f>
        <v>0</v>
      </c>
      <c r="T150" s="865">
        <f>SUM(T104:T148)</f>
        <v>0</v>
      </c>
      <c r="U150" s="862"/>
      <c r="V150" s="864">
        <f>ROUND(SUMIF(V104:V148,"&gt; 10"),0)</f>
        <v>0</v>
      </c>
    </row>
    <row r="151" spans="1:25" ht="18.75" thickBot="1" x14ac:dyDescent="0.3">
      <c r="A151" s="923" t="s">
        <v>1754</v>
      </c>
      <c r="B151" s="253"/>
      <c r="C151" s="253"/>
      <c r="D151" s="253"/>
      <c r="E151" s="253"/>
      <c r="F151" s="253"/>
      <c r="G151" s="253"/>
      <c r="H151" s="253"/>
      <c r="I151" s="253"/>
      <c r="J151" s="253"/>
      <c r="K151" s="253"/>
      <c r="L151" s="253"/>
      <c r="M151" s="253"/>
      <c r="N151" s="16"/>
      <c r="O151" s="923" t="s">
        <v>1755</v>
      </c>
      <c r="P151" s="253"/>
      <c r="Q151" s="253"/>
      <c r="R151" s="253"/>
      <c r="S151" s="253"/>
      <c r="T151" s="253"/>
      <c r="U151" s="253"/>
      <c r="V151" s="253"/>
      <c r="W151" s="16"/>
      <c r="X151" s="16"/>
      <c r="Y151" s="16"/>
    </row>
    <row r="152" spans="1:25" ht="17.25" customHeight="1" x14ac:dyDescent="0.2">
      <c r="A152" s="1572" t="s">
        <v>166</v>
      </c>
      <c r="B152" s="1568" t="s">
        <v>1720</v>
      </c>
      <c r="C152" s="1568" t="s">
        <v>1746</v>
      </c>
      <c r="D152" s="1568" t="s">
        <v>1722</v>
      </c>
      <c r="E152" s="1568" t="s">
        <v>1723</v>
      </c>
      <c r="F152" s="1568" t="s">
        <v>1724</v>
      </c>
      <c r="G152" s="1568" t="s">
        <v>1725</v>
      </c>
      <c r="H152" s="1568" t="s">
        <v>1726</v>
      </c>
      <c r="I152" s="1568" t="s">
        <v>1727</v>
      </c>
      <c r="J152" s="1568" t="s">
        <v>1728</v>
      </c>
      <c r="K152" s="1568" t="s">
        <v>1729</v>
      </c>
      <c r="L152" s="1568" t="s">
        <v>1730</v>
      </c>
      <c r="M152" s="1570" t="s">
        <v>1731</v>
      </c>
      <c r="N152" s="922"/>
      <c r="O152" s="1572" t="s">
        <v>166</v>
      </c>
      <c r="P152" s="1568" t="s">
        <v>1747</v>
      </c>
      <c r="Q152" s="1568" t="s">
        <v>1736</v>
      </c>
      <c r="R152" s="1568" t="s">
        <v>1741</v>
      </c>
      <c r="S152" s="1568" t="s">
        <v>1699</v>
      </c>
      <c r="T152" s="1568" t="s">
        <v>1700</v>
      </c>
      <c r="U152" s="1568" t="s">
        <v>1742</v>
      </c>
      <c r="V152" s="1570" t="s">
        <v>1743</v>
      </c>
    </row>
    <row r="153" spans="1:25" ht="54" customHeight="1" thickBot="1" x14ac:dyDescent="0.25">
      <c r="A153" s="1573"/>
      <c r="B153" s="1569"/>
      <c r="C153" s="1569"/>
      <c r="D153" s="1569"/>
      <c r="E153" s="1569"/>
      <c r="F153" s="1569"/>
      <c r="G153" s="1569"/>
      <c r="H153" s="1569"/>
      <c r="I153" s="1569"/>
      <c r="J153" s="1569"/>
      <c r="K153" s="1569"/>
      <c r="L153" s="1569"/>
      <c r="M153" s="1571"/>
      <c r="N153" s="922"/>
      <c r="O153" s="1573"/>
      <c r="P153" s="1569"/>
      <c r="Q153" s="1569"/>
      <c r="R153" s="1569"/>
      <c r="S153" s="1569"/>
      <c r="T153" s="1569"/>
      <c r="U153" s="1569"/>
      <c r="V153" s="1571"/>
    </row>
    <row r="154" spans="1:25" x14ac:dyDescent="0.2">
      <c r="A154" s="271">
        <f>LOOKUP('Overflow (4)'!$C12,Cities!$A$3:$A$356,Cities!$C$3:$C$356)</f>
        <v>0</v>
      </c>
      <c r="B154" s="959">
        <f>'Print Return'!L$37</f>
        <v>0</v>
      </c>
      <c r="C154" s="858">
        <f>'Overflow (4)'!$M12</f>
        <v>0</v>
      </c>
      <c r="D154" s="859">
        <f t="shared" ref="D154:D198" si="27">B154*IF(ISNUMBER(C154)=TRUE,C154,0)</f>
        <v>0</v>
      </c>
      <c r="E154" s="825">
        <f>'Overflow (4)'!G66</f>
        <v>0</v>
      </c>
      <c r="F154" s="826">
        <f>D154-E154</f>
        <v>0</v>
      </c>
      <c r="G154" s="960">
        <f>IF(C154&gt;0,F154 / C154,0)</f>
        <v>0</v>
      </c>
      <c r="H154" s="122">
        <f>'Print Return'!L$41</f>
        <v>0</v>
      </c>
      <c r="I154" s="293">
        <f>IF('Overflow (4)'!O12&lt;2015,MIN(G154,H154)/2,MIN(G154,H154))</f>
        <v>0</v>
      </c>
      <c r="J154" s="960">
        <f>IF(G154-I154&gt;0,G154-I154,0)</f>
        <v>0</v>
      </c>
      <c r="K154" s="293">
        <f>J154*IF(C154&gt;0,C154,0)</f>
        <v>0</v>
      </c>
      <c r="L154" s="860">
        <f>LOOKUP('Overflow (4)'!$C12,Cities!$A$3:$A$356,Cities!$D$3:$D$356)</f>
        <v>0</v>
      </c>
      <c r="M154" s="861">
        <f>K154*L154</f>
        <v>0</v>
      </c>
      <c r="N154" s="1"/>
      <c r="O154" s="271">
        <f>LOOKUP('Overflow (4)'!$C12,Cities!$A$3:$A$356,Cities!$C$3:$C$356)</f>
        <v>0</v>
      </c>
      <c r="P154" s="857">
        <f>IF('Overflow (4)'!O12&lt;2015,'Print Return'!L$45,J154)</f>
        <v>0</v>
      </c>
      <c r="Q154" s="858">
        <f>'Overflow (4)'!$M12</f>
        <v>0</v>
      </c>
      <c r="R154" s="859">
        <f>P154*IF(Q154&gt;0,Q154,0)</f>
        <v>0</v>
      </c>
      <c r="S154" s="825">
        <f>'Overflow (4)'!G66</f>
        <v>0</v>
      </c>
      <c r="T154" s="826">
        <f>IF(P154&gt;0,R154-S154, 0)</f>
        <v>0</v>
      </c>
      <c r="U154" s="860">
        <f>LOOKUP('Overflow (4)'!$C12,Cities!$A$3:$A$356,Cities!$D$3:$D$356)</f>
        <v>0</v>
      </c>
      <c r="V154" s="861">
        <f>T154*U154</f>
        <v>0</v>
      </c>
    </row>
    <row r="155" spans="1:25" x14ac:dyDescent="0.2">
      <c r="A155" s="271">
        <f>LOOKUP('Overflow (4)'!$C13,Cities!$A$3:$A$356,Cities!$C$3:$C$356)</f>
        <v>0</v>
      </c>
      <c r="B155" s="959">
        <f>'Print Return'!L$37</f>
        <v>0</v>
      </c>
      <c r="C155" s="858">
        <f>'Overflow (4)'!$M13</f>
        <v>0</v>
      </c>
      <c r="D155" s="859">
        <f t="shared" si="27"/>
        <v>0</v>
      </c>
      <c r="E155" s="825">
        <f>'Overflow (4)'!G67</f>
        <v>0</v>
      </c>
      <c r="F155" s="826">
        <f t="shared" ref="F155:F198" si="28">D155-E155</f>
        <v>0</v>
      </c>
      <c r="G155" s="960">
        <f t="shared" ref="G155:G198" si="29">IF(C155&gt;0,F155 / C155,0)</f>
        <v>0</v>
      </c>
      <c r="H155" s="122">
        <f>'Print Return'!L$41</f>
        <v>0</v>
      </c>
      <c r="I155" s="293">
        <f>IF('Overflow (4)'!O13&lt;2015,MIN(G155,H155)/2,MIN(G155,H155))</f>
        <v>0</v>
      </c>
      <c r="J155" s="960">
        <f t="shared" ref="J155:J198" si="30">IF(G155-I155&gt;0,G155-I155,0)</f>
        <v>0</v>
      </c>
      <c r="K155" s="293">
        <f t="shared" ref="K155:K198" si="31">J155*IF(C155&gt;0,C155,0)</f>
        <v>0</v>
      </c>
      <c r="L155" s="860">
        <f>LOOKUP('Overflow (4)'!$C13,Cities!$A$3:$A$356,Cities!$D$3:$D$356)</f>
        <v>0</v>
      </c>
      <c r="M155" s="861">
        <f t="shared" ref="M155:M198" si="32">K155*L155</f>
        <v>0</v>
      </c>
      <c r="O155" s="271">
        <f>LOOKUP('Overflow (4)'!$C13,Cities!$A$3:$A$356,Cities!$C$3:$C$356)</f>
        <v>0</v>
      </c>
      <c r="P155" s="857">
        <f>IF('Overflow (4)'!O13&lt;2015,'Print Return'!L$45,J155)</f>
        <v>0</v>
      </c>
      <c r="Q155" s="858">
        <f>'Overflow (4)'!$M13</f>
        <v>0</v>
      </c>
      <c r="R155" s="859">
        <f t="shared" ref="R155:R198" si="33">P155*IF(Q155&gt;0,Q155,0)</f>
        <v>0</v>
      </c>
      <c r="S155" s="825">
        <f>'Overflow (4)'!G67</f>
        <v>0</v>
      </c>
      <c r="T155" s="826">
        <f t="shared" ref="T155:T198" si="34">IF(P155&gt;0,R155-S155, 0)</f>
        <v>0</v>
      </c>
      <c r="U155" s="860">
        <f>LOOKUP('Overflow (4)'!$C13,Cities!$A$3:$A$356,Cities!$D$3:$D$356)</f>
        <v>0</v>
      </c>
      <c r="V155" s="861">
        <f t="shared" ref="V155:V198" si="35">T155*U155</f>
        <v>0</v>
      </c>
    </row>
    <row r="156" spans="1:25" x14ac:dyDescent="0.2">
      <c r="A156" s="271">
        <f>LOOKUP('Overflow (4)'!$C14,Cities!$A$3:$A$356,Cities!$C$3:$C$356)</f>
        <v>0</v>
      </c>
      <c r="B156" s="959">
        <f>'Print Return'!L$37</f>
        <v>0</v>
      </c>
      <c r="C156" s="858">
        <f>'Overflow (4)'!$M14</f>
        <v>0</v>
      </c>
      <c r="D156" s="859">
        <f t="shared" si="27"/>
        <v>0</v>
      </c>
      <c r="E156" s="825">
        <f>'Overflow (4)'!G68</f>
        <v>0</v>
      </c>
      <c r="F156" s="826">
        <f t="shared" si="28"/>
        <v>0</v>
      </c>
      <c r="G156" s="960">
        <f t="shared" si="29"/>
        <v>0</v>
      </c>
      <c r="H156" s="122">
        <f>'Print Return'!L$41</f>
        <v>0</v>
      </c>
      <c r="I156" s="293">
        <f>IF('Overflow (4)'!O14&lt;2015,MIN(G156,H156)/2,MIN(G156,H156))</f>
        <v>0</v>
      </c>
      <c r="J156" s="960">
        <f t="shared" si="30"/>
        <v>0</v>
      </c>
      <c r="K156" s="293">
        <f t="shared" si="31"/>
        <v>0</v>
      </c>
      <c r="L156" s="860">
        <f>LOOKUP('Overflow (4)'!$C14,Cities!$A$3:$A$356,Cities!$D$3:$D$356)</f>
        <v>0</v>
      </c>
      <c r="M156" s="861">
        <f t="shared" si="32"/>
        <v>0</v>
      </c>
      <c r="O156" s="271">
        <f>LOOKUP('Overflow (4)'!$C14,Cities!$A$3:$A$356,Cities!$C$3:$C$356)</f>
        <v>0</v>
      </c>
      <c r="P156" s="857">
        <f>IF('Overflow (4)'!O14&lt;2015,'Print Return'!L$45,J156)</f>
        <v>0</v>
      </c>
      <c r="Q156" s="858">
        <f>'Overflow (4)'!$M14</f>
        <v>0</v>
      </c>
      <c r="R156" s="859">
        <f t="shared" si="33"/>
        <v>0</v>
      </c>
      <c r="S156" s="825">
        <f>'Overflow (4)'!G68</f>
        <v>0</v>
      </c>
      <c r="T156" s="826">
        <f t="shared" si="34"/>
        <v>0</v>
      </c>
      <c r="U156" s="860">
        <f>LOOKUP('Overflow (4)'!$C14,Cities!$A$3:$A$356,Cities!$D$3:$D$356)</f>
        <v>0</v>
      </c>
      <c r="V156" s="861">
        <f t="shared" si="35"/>
        <v>0</v>
      </c>
    </row>
    <row r="157" spans="1:25" x14ac:dyDescent="0.2">
      <c r="A157" s="271">
        <f>LOOKUP('Overflow (4)'!$C15,Cities!$A$3:$A$356,Cities!$C$3:$C$356)</f>
        <v>0</v>
      </c>
      <c r="B157" s="959">
        <f>'Print Return'!L$37</f>
        <v>0</v>
      </c>
      <c r="C157" s="858">
        <f>'Overflow (4)'!$M15</f>
        <v>0</v>
      </c>
      <c r="D157" s="859">
        <f t="shared" si="27"/>
        <v>0</v>
      </c>
      <c r="E157" s="825">
        <f>'Overflow (4)'!G69</f>
        <v>0</v>
      </c>
      <c r="F157" s="826">
        <f t="shared" si="28"/>
        <v>0</v>
      </c>
      <c r="G157" s="960">
        <f t="shared" si="29"/>
        <v>0</v>
      </c>
      <c r="H157" s="122">
        <f>'Print Return'!L$41</f>
        <v>0</v>
      </c>
      <c r="I157" s="293">
        <f>IF('Overflow (4)'!O15&lt;2015,MIN(G157,H157)/2,MIN(G157,H157))</f>
        <v>0</v>
      </c>
      <c r="J157" s="960">
        <f t="shared" si="30"/>
        <v>0</v>
      </c>
      <c r="K157" s="293">
        <f t="shared" si="31"/>
        <v>0</v>
      </c>
      <c r="L157" s="860">
        <f>LOOKUP('Overflow (4)'!$C15,Cities!$A$3:$A$356,Cities!$D$3:$D$356)</f>
        <v>0</v>
      </c>
      <c r="M157" s="861">
        <f t="shared" si="32"/>
        <v>0</v>
      </c>
      <c r="O157" s="271">
        <f>LOOKUP('Overflow (4)'!$C15,Cities!$A$3:$A$356,Cities!$C$3:$C$356)</f>
        <v>0</v>
      </c>
      <c r="P157" s="857">
        <f>IF('Overflow (4)'!O15&lt;2015,'Print Return'!L$45,J157)</f>
        <v>0</v>
      </c>
      <c r="Q157" s="858">
        <f>'Overflow (4)'!$M15</f>
        <v>0</v>
      </c>
      <c r="R157" s="859">
        <f t="shared" si="33"/>
        <v>0</v>
      </c>
      <c r="S157" s="825">
        <f>'Overflow (4)'!G69</f>
        <v>0</v>
      </c>
      <c r="T157" s="826">
        <f t="shared" si="34"/>
        <v>0</v>
      </c>
      <c r="U157" s="860">
        <f>LOOKUP('Overflow (4)'!$C15,Cities!$A$3:$A$356,Cities!$D$3:$D$356)</f>
        <v>0</v>
      </c>
      <c r="V157" s="861">
        <f t="shared" si="35"/>
        <v>0</v>
      </c>
    </row>
    <row r="158" spans="1:25" x14ac:dyDescent="0.2">
      <c r="A158" s="271">
        <f>LOOKUP('Overflow (4)'!$C16,Cities!$A$3:$A$356,Cities!$C$3:$C$356)</f>
        <v>0</v>
      </c>
      <c r="B158" s="959">
        <f>'Print Return'!L$37</f>
        <v>0</v>
      </c>
      <c r="C158" s="858">
        <f>'Overflow (4)'!$M16</f>
        <v>0</v>
      </c>
      <c r="D158" s="859">
        <f t="shared" si="27"/>
        <v>0</v>
      </c>
      <c r="E158" s="825">
        <f>'Overflow (4)'!G70</f>
        <v>0</v>
      </c>
      <c r="F158" s="826">
        <f t="shared" si="28"/>
        <v>0</v>
      </c>
      <c r="G158" s="960">
        <f t="shared" si="29"/>
        <v>0</v>
      </c>
      <c r="H158" s="122">
        <f>'Print Return'!L$41</f>
        <v>0</v>
      </c>
      <c r="I158" s="293">
        <f>IF('Overflow (4)'!O16&lt;2015,MIN(G158,H158)/2,MIN(G158,H158))</f>
        <v>0</v>
      </c>
      <c r="J158" s="960">
        <f t="shared" si="30"/>
        <v>0</v>
      </c>
      <c r="K158" s="293">
        <f t="shared" si="31"/>
        <v>0</v>
      </c>
      <c r="L158" s="860">
        <f>LOOKUP('Overflow (4)'!$C16,Cities!$A$3:$A$356,Cities!$D$3:$D$356)</f>
        <v>0</v>
      </c>
      <c r="M158" s="861">
        <f t="shared" si="32"/>
        <v>0</v>
      </c>
      <c r="O158" s="271">
        <f>LOOKUP('Overflow (4)'!$C16,Cities!$A$3:$A$356,Cities!$C$3:$C$356)</f>
        <v>0</v>
      </c>
      <c r="P158" s="857">
        <f>IF('Overflow (4)'!O16&lt;2015,'Print Return'!L$45,J158)</f>
        <v>0</v>
      </c>
      <c r="Q158" s="858">
        <f>'Overflow (4)'!$M16</f>
        <v>0</v>
      </c>
      <c r="R158" s="859">
        <f t="shared" si="33"/>
        <v>0</v>
      </c>
      <c r="S158" s="825">
        <f>'Overflow (4)'!G70</f>
        <v>0</v>
      </c>
      <c r="T158" s="826">
        <f t="shared" si="34"/>
        <v>0</v>
      </c>
      <c r="U158" s="860">
        <f>LOOKUP('Overflow (4)'!$C16,Cities!$A$3:$A$356,Cities!$D$3:$D$356)</f>
        <v>0</v>
      </c>
      <c r="V158" s="861">
        <f t="shared" si="35"/>
        <v>0</v>
      </c>
    </row>
    <row r="159" spans="1:25" x14ac:dyDescent="0.2">
      <c r="A159" s="271">
        <f>LOOKUP('Overflow (4)'!$C17,Cities!$A$3:$A$356,Cities!$C$3:$C$356)</f>
        <v>0</v>
      </c>
      <c r="B159" s="959">
        <f>'Print Return'!L$37</f>
        <v>0</v>
      </c>
      <c r="C159" s="858">
        <f>'Overflow (4)'!$M17</f>
        <v>0</v>
      </c>
      <c r="D159" s="859">
        <f t="shared" si="27"/>
        <v>0</v>
      </c>
      <c r="E159" s="825">
        <f>'Overflow (4)'!G71</f>
        <v>0</v>
      </c>
      <c r="F159" s="826">
        <f t="shared" si="28"/>
        <v>0</v>
      </c>
      <c r="G159" s="960">
        <f t="shared" si="29"/>
        <v>0</v>
      </c>
      <c r="H159" s="122">
        <f>'Print Return'!L$41</f>
        <v>0</v>
      </c>
      <c r="I159" s="293">
        <f>IF('Overflow (4)'!O17&lt;2015,MIN(G159,H159)/2,MIN(G159,H159))</f>
        <v>0</v>
      </c>
      <c r="J159" s="960">
        <f t="shared" si="30"/>
        <v>0</v>
      </c>
      <c r="K159" s="293">
        <f t="shared" si="31"/>
        <v>0</v>
      </c>
      <c r="L159" s="860">
        <f>LOOKUP('Overflow (4)'!$C17,Cities!$A$3:$A$356,Cities!$D$3:$D$356)</f>
        <v>0</v>
      </c>
      <c r="M159" s="861">
        <f t="shared" si="32"/>
        <v>0</v>
      </c>
      <c r="O159" s="271">
        <f>LOOKUP('Overflow (4)'!$C17,Cities!$A$3:$A$356,Cities!$C$3:$C$356)</f>
        <v>0</v>
      </c>
      <c r="P159" s="857">
        <f>IF('Overflow (4)'!O17&lt;2015,'Print Return'!L$45,J159)</f>
        <v>0</v>
      </c>
      <c r="Q159" s="858">
        <f>'Overflow (4)'!$M17</f>
        <v>0</v>
      </c>
      <c r="R159" s="859">
        <f t="shared" si="33"/>
        <v>0</v>
      </c>
      <c r="S159" s="825">
        <f>'Overflow (4)'!G71</f>
        <v>0</v>
      </c>
      <c r="T159" s="826">
        <f t="shared" si="34"/>
        <v>0</v>
      </c>
      <c r="U159" s="860">
        <f>LOOKUP('Overflow (4)'!$C17,Cities!$A$3:$A$356,Cities!$D$3:$D$356)</f>
        <v>0</v>
      </c>
      <c r="V159" s="861">
        <f t="shared" si="35"/>
        <v>0</v>
      </c>
    </row>
    <row r="160" spans="1:25" x14ac:dyDescent="0.2">
      <c r="A160" s="271">
        <f>LOOKUP('Overflow (4)'!$C18,Cities!$A$3:$A$356,Cities!$C$3:$C$356)</f>
        <v>0</v>
      </c>
      <c r="B160" s="959">
        <f>'Print Return'!L$37</f>
        <v>0</v>
      </c>
      <c r="C160" s="858">
        <f>'Overflow (4)'!$M18</f>
        <v>0</v>
      </c>
      <c r="D160" s="859">
        <f t="shared" si="27"/>
        <v>0</v>
      </c>
      <c r="E160" s="825">
        <f>'Overflow (4)'!G72</f>
        <v>0</v>
      </c>
      <c r="F160" s="826">
        <f t="shared" si="28"/>
        <v>0</v>
      </c>
      <c r="G160" s="960">
        <f t="shared" si="29"/>
        <v>0</v>
      </c>
      <c r="H160" s="122">
        <f>'Print Return'!L$41</f>
        <v>0</v>
      </c>
      <c r="I160" s="293">
        <f>IF('Overflow (4)'!O18&lt;2015,MIN(G160,H160)/2,MIN(G160,H160))</f>
        <v>0</v>
      </c>
      <c r="J160" s="960">
        <f t="shared" si="30"/>
        <v>0</v>
      </c>
      <c r="K160" s="293">
        <f t="shared" si="31"/>
        <v>0</v>
      </c>
      <c r="L160" s="860">
        <f>LOOKUP('Overflow (4)'!$C18,Cities!$A$3:$A$356,Cities!$D$3:$D$356)</f>
        <v>0</v>
      </c>
      <c r="M160" s="861">
        <f t="shared" si="32"/>
        <v>0</v>
      </c>
      <c r="O160" s="271">
        <f>LOOKUP('Overflow (4)'!$C18,Cities!$A$3:$A$356,Cities!$C$3:$C$356)</f>
        <v>0</v>
      </c>
      <c r="P160" s="857">
        <f>IF('Overflow (4)'!O18&lt;2015,'Print Return'!L$45,J160)</f>
        <v>0</v>
      </c>
      <c r="Q160" s="858">
        <f>'Overflow (4)'!$M18</f>
        <v>0</v>
      </c>
      <c r="R160" s="859">
        <f t="shared" si="33"/>
        <v>0</v>
      </c>
      <c r="S160" s="825">
        <f>'Overflow (4)'!G72</f>
        <v>0</v>
      </c>
      <c r="T160" s="826">
        <f t="shared" si="34"/>
        <v>0</v>
      </c>
      <c r="U160" s="860">
        <f>LOOKUP('Overflow (4)'!$C18,Cities!$A$3:$A$356,Cities!$D$3:$D$356)</f>
        <v>0</v>
      </c>
      <c r="V160" s="861">
        <f t="shared" si="35"/>
        <v>0</v>
      </c>
    </row>
    <row r="161" spans="1:22" x14ac:dyDescent="0.2">
      <c r="A161" s="271">
        <f>LOOKUP('Overflow (4)'!$C19,Cities!$A$3:$A$356,Cities!$C$3:$C$356)</f>
        <v>0</v>
      </c>
      <c r="B161" s="959">
        <f>'Print Return'!L$37</f>
        <v>0</v>
      </c>
      <c r="C161" s="858">
        <f>'Overflow (4)'!$M19</f>
        <v>0</v>
      </c>
      <c r="D161" s="859">
        <f t="shared" si="27"/>
        <v>0</v>
      </c>
      <c r="E161" s="825">
        <f>'Overflow (4)'!G73</f>
        <v>0</v>
      </c>
      <c r="F161" s="826">
        <f t="shared" si="28"/>
        <v>0</v>
      </c>
      <c r="G161" s="960">
        <f t="shared" si="29"/>
        <v>0</v>
      </c>
      <c r="H161" s="122">
        <f>'Print Return'!L$41</f>
        <v>0</v>
      </c>
      <c r="I161" s="293">
        <f>IF('Overflow (4)'!O19&lt;2015,MIN(G161,H161)/2,MIN(G161,H161))</f>
        <v>0</v>
      </c>
      <c r="J161" s="960">
        <f t="shared" si="30"/>
        <v>0</v>
      </c>
      <c r="K161" s="293">
        <f t="shared" si="31"/>
        <v>0</v>
      </c>
      <c r="L161" s="860">
        <f>LOOKUP('Overflow (4)'!$C19,Cities!$A$3:$A$356,Cities!$D$3:$D$356)</f>
        <v>0</v>
      </c>
      <c r="M161" s="861">
        <f t="shared" si="32"/>
        <v>0</v>
      </c>
      <c r="O161" s="271">
        <f>LOOKUP('Overflow (4)'!$C19,Cities!$A$3:$A$356,Cities!$C$3:$C$356)</f>
        <v>0</v>
      </c>
      <c r="P161" s="857">
        <f>IF('Overflow (4)'!O19&lt;2015,'Print Return'!L$45,J161)</f>
        <v>0</v>
      </c>
      <c r="Q161" s="858">
        <f>'Overflow (4)'!$M19</f>
        <v>0</v>
      </c>
      <c r="R161" s="859">
        <f t="shared" si="33"/>
        <v>0</v>
      </c>
      <c r="S161" s="825">
        <f>'Overflow (4)'!G73</f>
        <v>0</v>
      </c>
      <c r="T161" s="826">
        <f t="shared" si="34"/>
        <v>0</v>
      </c>
      <c r="U161" s="860">
        <f>LOOKUP('Overflow (4)'!$C19,Cities!$A$3:$A$356,Cities!$D$3:$D$356)</f>
        <v>0</v>
      </c>
      <c r="V161" s="861">
        <f t="shared" si="35"/>
        <v>0</v>
      </c>
    </row>
    <row r="162" spans="1:22" x14ac:dyDescent="0.2">
      <c r="A162" s="271">
        <f>LOOKUP('Overflow (4)'!$C20,Cities!$A$3:$A$356,Cities!$C$3:$C$356)</f>
        <v>0</v>
      </c>
      <c r="B162" s="959">
        <f>'Print Return'!L$37</f>
        <v>0</v>
      </c>
      <c r="C162" s="858">
        <f>'Overflow (4)'!$M20</f>
        <v>0</v>
      </c>
      <c r="D162" s="859">
        <f t="shared" si="27"/>
        <v>0</v>
      </c>
      <c r="E162" s="825">
        <f>'Overflow (4)'!G74</f>
        <v>0</v>
      </c>
      <c r="F162" s="826">
        <f t="shared" si="28"/>
        <v>0</v>
      </c>
      <c r="G162" s="960">
        <f t="shared" si="29"/>
        <v>0</v>
      </c>
      <c r="H162" s="122">
        <f>'Print Return'!L$41</f>
        <v>0</v>
      </c>
      <c r="I162" s="293">
        <f>IF('Overflow (4)'!O20&lt;2015,MIN(G162,H162)/2,MIN(G162,H162))</f>
        <v>0</v>
      </c>
      <c r="J162" s="960">
        <f t="shared" si="30"/>
        <v>0</v>
      </c>
      <c r="K162" s="293">
        <f t="shared" si="31"/>
        <v>0</v>
      </c>
      <c r="L162" s="860">
        <f>LOOKUP('Overflow (4)'!$C20,Cities!$A$3:$A$356,Cities!$D$3:$D$356)</f>
        <v>0</v>
      </c>
      <c r="M162" s="861">
        <f t="shared" si="32"/>
        <v>0</v>
      </c>
      <c r="O162" s="271">
        <f>LOOKUP('Overflow (4)'!$C20,Cities!$A$3:$A$356,Cities!$C$3:$C$356)</f>
        <v>0</v>
      </c>
      <c r="P162" s="857">
        <f>IF('Overflow (4)'!O20&lt;2015,'Print Return'!L$45,J162)</f>
        <v>0</v>
      </c>
      <c r="Q162" s="858">
        <f>'Overflow (4)'!$M20</f>
        <v>0</v>
      </c>
      <c r="R162" s="859">
        <f t="shared" si="33"/>
        <v>0</v>
      </c>
      <c r="S162" s="825">
        <f>'Overflow (4)'!G74</f>
        <v>0</v>
      </c>
      <c r="T162" s="826">
        <f t="shared" si="34"/>
        <v>0</v>
      </c>
      <c r="U162" s="860">
        <f>LOOKUP('Overflow (4)'!$C20,Cities!$A$3:$A$356,Cities!$D$3:$D$356)</f>
        <v>0</v>
      </c>
      <c r="V162" s="861">
        <f t="shared" si="35"/>
        <v>0</v>
      </c>
    </row>
    <row r="163" spans="1:22" x14ac:dyDescent="0.2">
      <c r="A163" s="271">
        <f>LOOKUP('Overflow (4)'!$C21,Cities!$A$3:$A$356,Cities!$C$3:$C$356)</f>
        <v>0</v>
      </c>
      <c r="B163" s="959">
        <f>'Print Return'!L$37</f>
        <v>0</v>
      </c>
      <c r="C163" s="858">
        <f>'Overflow (4)'!$M21</f>
        <v>0</v>
      </c>
      <c r="D163" s="859">
        <f t="shared" si="27"/>
        <v>0</v>
      </c>
      <c r="E163" s="825">
        <f>'Overflow (4)'!G75</f>
        <v>0</v>
      </c>
      <c r="F163" s="826">
        <f t="shared" si="28"/>
        <v>0</v>
      </c>
      <c r="G163" s="960">
        <f t="shared" si="29"/>
        <v>0</v>
      </c>
      <c r="H163" s="122">
        <f>'Print Return'!L$41</f>
        <v>0</v>
      </c>
      <c r="I163" s="293">
        <f>IF('Overflow (4)'!O21&lt;2015,MIN(G163,H163)/2,MIN(G163,H163))</f>
        <v>0</v>
      </c>
      <c r="J163" s="960">
        <f t="shared" si="30"/>
        <v>0</v>
      </c>
      <c r="K163" s="293">
        <f t="shared" si="31"/>
        <v>0</v>
      </c>
      <c r="L163" s="860">
        <f>LOOKUP('Overflow (4)'!$C21,Cities!$A$3:$A$356,Cities!$D$3:$D$356)</f>
        <v>0</v>
      </c>
      <c r="M163" s="861">
        <f t="shared" si="32"/>
        <v>0</v>
      </c>
      <c r="O163" s="271">
        <f>LOOKUP('Overflow (4)'!$C21,Cities!$A$3:$A$356,Cities!$C$3:$C$356)</f>
        <v>0</v>
      </c>
      <c r="P163" s="857">
        <f>IF('Overflow (4)'!O21&lt;2015,'Print Return'!L$45,J163)</f>
        <v>0</v>
      </c>
      <c r="Q163" s="858">
        <f>'Overflow (4)'!$M21</f>
        <v>0</v>
      </c>
      <c r="R163" s="859">
        <f t="shared" si="33"/>
        <v>0</v>
      </c>
      <c r="S163" s="825">
        <f>'Overflow (4)'!G75</f>
        <v>0</v>
      </c>
      <c r="T163" s="826">
        <f t="shared" si="34"/>
        <v>0</v>
      </c>
      <c r="U163" s="860">
        <f>LOOKUP('Overflow (4)'!$C21,Cities!$A$3:$A$356,Cities!$D$3:$D$356)</f>
        <v>0</v>
      </c>
      <c r="V163" s="861">
        <f t="shared" si="35"/>
        <v>0</v>
      </c>
    </row>
    <row r="164" spans="1:22" x14ac:dyDescent="0.2">
      <c r="A164" s="271">
        <f>LOOKUP('Overflow (4)'!$C22,Cities!$A$3:$A$356,Cities!$C$3:$C$356)</f>
        <v>0</v>
      </c>
      <c r="B164" s="959">
        <f>'Print Return'!L$37</f>
        <v>0</v>
      </c>
      <c r="C164" s="858">
        <f>'Overflow (4)'!$M22</f>
        <v>0</v>
      </c>
      <c r="D164" s="859">
        <f t="shared" si="27"/>
        <v>0</v>
      </c>
      <c r="E164" s="825">
        <f>'Overflow (4)'!G76</f>
        <v>0</v>
      </c>
      <c r="F164" s="826">
        <f t="shared" si="28"/>
        <v>0</v>
      </c>
      <c r="G164" s="960">
        <f t="shared" si="29"/>
        <v>0</v>
      </c>
      <c r="H164" s="122">
        <f>'Print Return'!L$41</f>
        <v>0</v>
      </c>
      <c r="I164" s="293">
        <f>IF('Overflow (4)'!O22&lt;2015,MIN(G164,H164)/2,MIN(G164,H164))</f>
        <v>0</v>
      </c>
      <c r="J164" s="960">
        <f t="shared" si="30"/>
        <v>0</v>
      </c>
      <c r="K164" s="293">
        <f t="shared" si="31"/>
        <v>0</v>
      </c>
      <c r="L164" s="860">
        <f>LOOKUP('Overflow (4)'!$C22,Cities!$A$3:$A$356,Cities!$D$3:$D$356)</f>
        <v>0</v>
      </c>
      <c r="M164" s="861">
        <f t="shared" si="32"/>
        <v>0</v>
      </c>
      <c r="O164" s="271">
        <f>LOOKUP('Overflow (4)'!$C22,Cities!$A$3:$A$356,Cities!$C$3:$C$356)</f>
        <v>0</v>
      </c>
      <c r="P164" s="857">
        <f>IF('Overflow (4)'!O22&lt;2015,'Print Return'!L$45,J164)</f>
        <v>0</v>
      </c>
      <c r="Q164" s="858">
        <f>'Overflow (4)'!$M22</f>
        <v>0</v>
      </c>
      <c r="R164" s="859">
        <f t="shared" si="33"/>
        <v>0</v>
      </c>
      <c r="S164" s="825">
        <f>'Overflow (4)'!G76</f>
        <v>0</v>
      </c>
      <c r="T164" s="826">
        <f t="shared" si="34"/>
        <v>0</v>
      </c>
      <c r="U164" s="860">
        <f>LOOKUP('Overflow (4)'!$C22,Cities!$A$3:$A$356,Cities!$D$3:$D$356)</f>
        <v>0</v>
      </c>
      <c r="V164" s="861">
        <f t="shared" si="35"/>
        <v>0</v>
      </c>
    </row>
    <row r="165" spans="1:22" x14ac:dyDescent="0.2">
      <c r="A165" s="271">
        <f>LOOKUP('Overflow (4)'!$C23,Cities!$A$3:$A$356,Cities!$C$3:$C$356)</f>
        <v>0</v>
      </c>
      <c r="B165" s="959">
        <f>'Print Return'!L$37</f>
        <v>0</v>
      </c>
      <c r="C165" s="858">
        <f>'Overflow (4)'!$M23</f>
        <v>0</v>
      </c>
      <c r="D165" s="859">
        <f t="shared" si="27"/>
        <v>0</v>
      </c>
      <c r="E165" s="825">
        <f>'Overflow (4)'!G77</f>
        <v>0</v>
      </c>
      <c r="F165" s="826">
        <f t="shared" si="28"/>
        <v>0</v>
      </c>
      <c r="G165" s="960">
        <f t="shared" si="29"/>
        <v>0</v>
      </c>
      <c r="H165" s="122">
        <f>'Print Return'!L$41</f>
        <v>0</v>
      </c>
      <c r="I165" s="293">
        <f>IF('Overflow (4)'!O23&lt;2015,MIN(G165,H165)/2,MIN(G165,H165))</f>
        <v>0</v>
      </c>
      <c r="J165" s="960">
        <f t="shared" si="30"/>
        <v>0</v>
      </c>
      <c r="K165" s="293">
        <f t="shared" si="31"/>
        <v>0</v>
      </c>
      <c r="L165" s="860">
        <f>LOOKUP('Overflow (4)'!$C23,Cities!$A$3:$A$356,Cities!$D$3:$D$356)</f>
        <v>0</v>
      </c>
      <c r="M165" s="861">
        <f t="shared" si="32"/>
        <v>0</v>
      </c>
      <c r="O165" s="271">
        <f>LOOKUP('Overflow (4)'!$C23,Cities!$A$3:$A$356,Cities!$C$3:$C$356)</f>
        <v>0</v>
      </c>
      <c r="P165" s="857">
        <f>IF('Overflow (4)'!O23&lt;2015,'Print Return'!L$45,J165)</f>
        <v>0</v>
      </c>
      <c r="Q165" s="858">
        <f>'Overflow (4)'!$M23</f>
        <v>0</v>
      </c>
      <c r="R165" s="859">
        <f t="shared" si="33"/>
        <v>0</v>
      </c>
      <c r="S165" s="825">
        <f>'Overflow (4)'!G77</f>
        <v>0</v>
      </c>
      <c r="T165" s="826">
        <f t="shared" si="34"/>
        <v>0</v>
      </c>
      <c r="U165" s="860">
        <f>LOOKUP('Overflow (4)'!$C23,Cities!$A$3:$A$356,Cities!$D$3:$D$356)</f>
        <v>0</v>
      </c>
      <c r="V165" s="861">
        <f t="shared" si="35"/>
        <v>0</v>
      </c>
    </row>
    <row r="166" spans="1:22" x14ac:dyDescent="0.2">
      <c r="A166" s="271">
        <f>LOOKUP('Overflow (4)'!$C24,Cities!$A$3:$A$356,Cities!$C$3:$C$356)</f>
        <v>0</v>
      </c>
      <c r="B166" s="959">
        <f>'Print Return'!L$37</f>
        <v>0</v>
      </c>
      <c r="C166" s="858">
        <f>'Overflow (4)'!$M24</f>
        <v>0</v>
      </c>
      <c r="D166" s="859">
        <f t="shared" si="27"/>
        <v>0</v>
      </c>
      <c r="E166" s="825">
        <f>'Overflow (4)'!G78</f>
        <v>0</v>
      </c>
      <c r="F166" s="826">
        <f t="shared" si="28"/>
        <v>0</v>
      </c>
      <c r="G166" s="960">
        <f t="shared" si="29"/>
        <v>0</v>
      </c>
      <c r="H166" s="122">
        <f>'Print Return'!L$41</f>
        <v>0</v>
      </c>
      <c r="I166" s="293">
        <f>IF('Overflow (4)'!O24&lt;2015,MIN(G166,H166)/2,MIN(G166,H166))</f>
        <v>0</v>
      </c>
      <c r="J166" s="960">
        <f t="shared" si="30"/>
        <v>0</v>
      </c>
      <c r="K166" s="293">
        <f t="shared" si="31"/>
        <v>0</v>
      </c>
      <c r="L166" s="860">
        <f>LOOKUP('Overflow (4)'!$C24,Cities!$A$3:$A$356,Cities!$D$3:$D$356)</f>
        <v>0</v>
      </c>
      <c r="M166" s="861">
        <f t="shared" si="32"/>
        <v>0</v>
      </c>
      <c r="O166" s="271">
        <f>LOOKUP('Overflow (4)'!$C24,Cities!$A$3:$A$356,Cities!$C$3:$C$356)</f>
        <v>0</v>
      </c>
      <c r="P166" s="857">
        <f>IF('Overflow (4)'!O24&lt;2015,'Print Return'!L$45,J166)</f>
        <v>0</v>
      </c>
      <c r="Q166" s="858">
        <f>'Overflow (4)'!$M24</f>
        <v>0</v>
      </c>
      <c r="R166" s="859">
        <f t="shared" si="33"/>
        <v>0</v>
      </c>
      <c r="S166" s="825">
        <f>'Overflow (4)'!G78</f>
        <v>0</v>
      </c>
      <c r="T166" s="826">
        <f t="shared" si="34"/>
        <v>0</v>
      </c>
      <c r="U166" s="860">
        <f>LOOKUP('Overflow (4)'!$C24,Cities!$A$3:$A$356,Cities!$D$3:$D$356)</f>
        <v>0</v>
      </c>
      <c r="V166" s="861">
        <f t="shared" si="35"/>
        <v>0</v>
      </c>
    </row>
    <row r="167" spans="1:22" x14ac:dyDescent="0.2">
      <c r="A167" s="271">
        <f>LOOKUP('Overflow (4)'!$C25,Cities!$A$3:$A$356,Cities!$C$3:$C$356)</f>
        <v>0</v>
      </c>
      <c r="B167" s="959">
        <f>'Print Return'!L$37</f>
        <v>0</v>
      </c>
      <c r="C167" s="858">
        <f>'Overflow (4)'!$M25</f>
        <v>0</v>
      </c>
      <c r="D167" s="859">
        <f t="shared" si="27"/>
        <v>0</v>
      </c>
      <c r="E167" s="825">
        <f>'Overflow (4)'!G79</f>
        <v>0</v>
      </c>
      <c r="F167" s="826">
        <f t="shared" si="28"/>
        <v>0</v>
      </c>
      <c r="G167" s="960">
        <f t="shared" si="29"/>
        <v>0</v>
      </c>
      <c r="H167" s="122">
        <f>'Print Return'!L$41</f>
        <v>0</v>
      </c>
      <c r="I167" s="293">
        <f>IF('Overflow (4)'!O25&lt;2015,MIN(G167,H167)/2,MIN(G167,H167))</f>
        <v>0</v>
      </c>
      <c r="J167" s="960">
        <f t="shared" si="30"/>
        <v>0</v>
      </c>
      <c r="K167" s="293">
        <f t="shared" si="31"/>
        <v>0</v>
      </c>
      <c r="L167" s="860">
        <f>LOOKUP('Overflow (4)'!$C25,Cities!$A$3:$A$356,Cities!$D$3:$D$356)</f>
        <v>0</v>
      </c>
      <c r="M167" s="861">
        <f t="shared" si="32"/>
        <v>0</v>
      </c>
      <c r="O167" s="271">
        <f>LOOKUP('Overflow (4)'!$C25,Cities!$A$3:$A$356,Cities!$C$3:$C$356)</f>
        <v>0</v>
      </c>
      <c r="P167" s="857">
        <f>IF('Overflow (4)'!O25&lt;2015,'Print Return'!L$45,J167)</f>
        <v>0</v>
      </c>
      <c r="Q167" s="858">
        <f>'Overflow (4)'!$M25</f>
        <v>0</v>
      </c>
      <c r="R167" s="859">
        <f t="shared" si="33"/>
        <v>0</v>
      </c>
      <c r="S167" s="825">
        <f>'Overflow (4)'!G79</f>
        <v>0</v>
      </c>
      <c r="T167" s="826">
        <f t="shared" si="34"/>
        <v>0</v>
      </c>
      <c r="U167" s="860">
        <f>LOOKUP('Overflow (4)'!$C25,Cities!$A$3:$A$356,Cities!$D$3:$D$356)</f>
        <v>0</v>
      </c>
      <c r="V167" s="861">
        <f t="shared" si="35"/>
        <v>0</v>
      </c>
    </row>
    <row r="168" spans="1:22" x14ac:dyDescent="0.2">
      <c r="A168" s="271">
        <f>LOOKUP('Overflow (4)'!$C26,Cities!$A$3:$A$356,Cities!$C$3:$C$356)</f>
        <v>0</v>
      </c>
      <c r="B168" s="959">
        <f>'Print Return'!L$37</f>
        <v>0</v>
      </c>
      <c r="C168" s="858">
        <f>'Overflow (4)'!$M26</f>
        <v>0</v>
      </c>
      <c r="D168" s="859">
        <f t="shared" si="27"/>
        <v>0</v>
      </c>
      <c r="E168" s="825">
        <f>'Overflow (4)'!G80</f>
        <v>0</v>
      </c>
      <c r="F168" s="826">
        <f t="shared" si="28"/>
        <v>0</v>
      </c>
      <c r="G168" s="960">
        <f t="shared" si="29"/>
        <v>0</v>
      </c>
      <c r="H168" s="122">
        <f>'Print Return'!L$41</f>
        <v>0</v>
      </c>
      <c r="I168" s="293">
        <f>IF('Overflow (4)'!O26&lt;2015,MIN(G168,H168)/2,MIN(G168,H168))</f>
        <v>0</v>
      </c>
      <c r="J168" s="960">
        <f t="shared" si="30"/>
        <v>0</v>
      </c>
      <c r="K168" s="293">
        <f t="shared" si="31"/>
        <v>0</v>
      </c>
      <c r="L168" s="860">
        <f>LOOKUP('Overflow (4)'!$C26,Cities!$A$3:$A$356,Cities!$D$3:$D$356)</f>
        <v>0</v>
      </c>
      <c r="M168" s="861">
        <f t="shared" si="32"/>
        <v>0</v>
      </c>
      <c r="O168" s="271">
        <f>LOOKUP('Overflow (4)'!$C26,Cities!$A$3:$A$356,Cities!$C$3:$C$356)</f>
        <v>0</v>
      </c>
      <c r="P168" s="857">
        <f>IF('Overflow (4)'!O26&lt;2015,'Print Return'!L$45,J168)</f>
        <v>0</v>
      </c>
      <c r="Q168" s="858">
        <f>'Overflow (4)'!$M26</f>
        <v>0</v>
      </c>
      <c r="R168" s="859">
        <f t="shared" si="33"/>
        <v>0</v>
      </c>
      <c r="S168" s="825">
        <f>'Overflow (4)'!G80</f>
        <v>0</v>
      </c>
      <c r="T168" s="826">
        <f t="shared" si="34"/>
        <v>0</v>
      </c>
      <c r="U168" s="860">
        <f>LOOKUP('Overflow (4)'!$C26,Cities!$A$3:$A$356,Cities!$D$3:$D$356)</f>
        <v>0</v>
      </c>
      <c r="V168" s="861">
        <f t="shared" si="35"/>
        <v>0</v>
      </c>
    </row>
    <row r="169" spans="1:22" x14ac:dyDescent="0.2">
      <c r="A169" s="271">
        <f>LOOKUP('Overflow (4)'!$C27,Cities!$A$3:$A$356,Cities!$C$3:$C$356)</f>
        <v>0</v>
      </c>
      <c r="B169" s="959">
        <f>'Print Return'!L$37</f>
        <v>0</v>
      </c>
      <c r="C169" s="858">
        <f>'Overflow (4)'!$M27</f>
        <v>0</v>
      </c>
      <c r="D169" s="859">
        <f t="shared" si="27"/>
        <v>0</v>
      </c>
      <c r="E169" s="825">
        <f>'Overflow (4)'!G81</f>
        <v>0</v>
      </c>
      <c r="F169" s="826">
        <f t="shared" si="28"/>
        <v>0</v>
      </c>
      <c r="G169" s="960">
        <f t="shared" si="29"/>
        <v>0</v>
      </c>
      <c r="H169" s="122">
        <f>'Print Return'!L$41</f>
        <v>0</v>
      </c>
      <c r="I169" s="293">
        <f>IF('Overflow (4)'!O27&lt;2015,MIN(G169,H169)/2,MIN(G169,H169))</f>
        <v>0</v>
      </c>
      <c r="J169" s="960">
        <f t="shared" si="30"/>
        <v>0</v>
      </c>
      <c r="K169" s="293">
        <f t="shared" si="31"/>
        <v>0</v>
      </c>
      <c r="L169" s="860">
        <f>LOOKUP('Overflow (4)'!$C27,Cities!$A$3:$A$356,Cities!$D$3:$D$356)</f>
        <v>0</v>
      </c>
      <c r="M169" s="861">
        <f t="shared" si="32"/>
        <v>0</v>
      </c>
      <c r="O169" s="271">
        <f>LOOKUP('Overflow (4)'!$C27,Cities!$A$3:$A$356,Cities!$C$3:$C$356)</f>
        <v>0</v>
      </c>
      <c r="P169" s="857">
        <f>IF('Overflow (4)'!O27&lt;2015,'Print Return'!L$45,J169)</f>
        <v>0</v>
      </c>
      <c r="Q169" s="858">
        <f>'Overflow (4)'!$M27</f>
        <v>0</v>
      </c>
      <c r="R169" s="859">
        <f t="shared" si="33"/>
        <v>0</v>
      </c>
      <c r="S169" s="825">
        <f>'Overflow (4)'!G81</f>
        <v>0</v>
      </c>
      <c r="T169" s="826">
        <f t="shared" si="34"/>
        <v>0</v>
      </c>
      <c r="U169" s="860">
        <f>LOOKUP('Overflow (4)'!$C27,Cities!$A$3:$A$356,Cities!$D$3:$D$356)</f>
        <v>0</v>
      </c>
      <c r="V169" s="861">
        <f t="shared" si="35"/>
        <v>0</v>
      </c>
    </row>
    <row r="170" spans="1:22" x14ac:dyDescent="0.2">
      <c r="A170" s="271">
        <f>LOOKUP('Overflow (4)'!$C28,Cities!$A$3:$A$356,Cities!$C$3:$C$356)</f>
        <v>0</v>
      </c>
      <c r="B170" s="959">
        <f>'Print Return'!L$37</f>
        <v>0</v>
      </c>
      <c r="C170" s="858">
        <f>'Overflow (4)'!$M28</f>
        <v>0</v>
      </c>
      <c r="D170" s="859">
        <f t="shared" si="27"/>
        <v>0</v>
      </c>
      <c r="E170" s="825">
        <f>'Overflow (4)'!G82</f>
        <v>0</v>
      </c>
      <c r="F170" s="826">
        <f t="shared" si="28"/>
        <v>0</v>
      </c>
      <c r="G170" s="960">
        <f t="shared" si="29"/>
        <v>0</v>
      </c>
      <c r="H170" s="122">
        <f>'Print Return'!L$41</f>
        <v>0</v>
      </c>
      <c r="I170" s="293">
        <f>IF('Overflow (4)'!O28&lt;2015,MIN(G170,H170)/2,MIN(G170,H170))</f>
        <v>0</v>
      </c>
      <c r="J170" s="960">
        <f t="shared" si="30"/>
        <v>0</v>
      </c>
      <c r="K170" s="293">
        <f t="shared" si="31"/>
        <v>0</v>
      </c>
      <c r="L170" s="860">
        <f>LOOKUP('Overflow (4)'!$C28,Cities!$A$3:$A$356,Cities!$D$3:$D$356)</f>
        <v>0</v>
      </c>
      <c r="M170" s="861">
        <f t="shared" si="32"/>
        <v>0</v>
      </c>
      <c r="O170" s="271">
        <f>LOOKUP('Overflow (4)'!$C28,Cities!$A$3:$A$356,Cities!$C$3:$C$356)</f>
        <v>0</v>
      </c>
      <c r="P170" s="857">
        <f>IF('Overflow (4)'!O28&lt;2015,'Print Return'!L$45,J170)</f>
        <v>0</v>
      </c>
      <c r="Q170" s="858">
        <f>'Overflow (4)'!$M28</f>
        <v>0</v>
      </c>
      <c r="R170" s="859">
        <f t="shared" si="33"/>
        <v>0</v>
      </c>
      <c r="S170" s="825">
        <f>'Overflow (4)'!G82</f>
        <v>0</v>
      </c>
      <c r="T170" s="826">
        <f t="shared" si="34"/>
        <v>0</v>
      </c>
      <c r="U170" s="860">
        <f>LOOKUP('Overflow (4)'!$C28,Cities!$A$3:$A$356,Cities!$D$3:$D$356)</f>
        <v>0</v>
      </c>
      <c r="V170" s="861">
        <f t="shared" si="35"/>
        <v>0</v>
      </c>
    </row>
    <row r="171" spans="1:22" x14ac:dyDescent="0.2">
      <c r="A171" s="271">
        <f>LOOKUP('Overflow (4)'!$C29,Cities!$A$3:$A$356,Cities!$C$3:$C$356)</f>
        <v>0</v>
      </c>
      <c r="B171" s="959">
        <f>'Print Return'!L$37</f>
        <v>0</v>
      </c>
      <c r="C171" s="858">
        <f>'Overflow (4)'!$M29</f>
        <v>0</v>
      </c>
      <c r="D171" s="859">
        <f t="shared" si="27"/>
        <v>0</v>
      </c>
      <c r="E171" s="825">
        <f>'Overflow (4)'!G83</f>
        <v>0</v>
      </c>
      <c r="F171" s="826">
        <f t="shared" si="28"/>
        <v>0</v>
      </c>
      <c r="G171" s="960">
        <f t="shared" si="29"/>
        <v>0</v>
      </c>
      <c r="H171" s="122">
        <f>'Print Return'!L$41</f>
        <v>0</v>
      </c>
      <c r="I171" s="293">
        <f>IF('Overflow (4)'!O29&lt;2015,MIN(G171,H171)/2,MIN(G171,H171))</f>
        <v>0</v>
      </c>
      <c r="J171" s="960">
        <f t="shared" si="30"/>
        <v>0</v>
      </c>
      <c r="K171" s="293">
        <f t="shared" si="31"/>
        <v>0</v>
      </c>
      <c r="L171" s="860">
        <f>LOOKUP('Overflow (4)'!$C29,Cities!$A$3:$A$356,Cities!$D$3:$D$356)</f>
        <v>0</v>
      </c>
      <c r="M171" s="861">
        <f t="shared" si="32"/>
        <v>0</v>
      </c>
      <c r="O171" s="271">
        <f>LOOKUP('Overflow (4)'!$C29,Cities!$A$3:$A$356,Cities!$C$3:$C$356)</f>
        <v>0</v>
      </c>
      <c r="P171" s="857">
        <f>IF('Overflow (4)'!O29&lt;2015,'Print Return'!L$45,J171)</f>
        <v>0</v>
      </c>
      <c r="Q171" s="858">
        <f>'Overflow (4)'!$M29</f>
        <v>0</v>
      </c>
      <c r="R171" s="859">
        <f t="shared" si="33"/>
        <v>0</v>
      </c>
      <c r="S171" s="825">
        <f>'Overflow (4)'!G83</f>
        <v>0</v>
      </c>
      <c r="T171" s="826">
        <f t="shared" si="34"/>
        <v>0</v>
      </c>
      <c r="U171" s="860">
        <f>LOOKUP('Overflow (4)'!$C29,Cities!$A$3:$A$356,Cities!$D$3:$D$356)</f>
        <v>0</v>
      </c>
      <c r="V171" s="861">
        <f t="shared" si="35"/>
        <v>0</v>
      </c>
    </row>
    <row r="172" spans="1:22" x14ac:dyDescent="0.2">
      <c r="A172" s="271">
        <f>LOOKUP('Overflow (4)'!$C30,Cities!$A$3:$A$356,Cities!$C$3:$C$356)</f>
        <v>0</v>
      </c>
      <c r="B172" s="959">
        <f>'Print Return'!L$37</f>
        <v>0</v>
      </c>
      <c r="C172" s="858">
        <f>'Overflow (4)'!$M30</f>
        <v>0</v>
      </c>
      <c r="D172" s="859">
        <f t="shared" si="27"/>
        <v>0</v>
      </c>
      <c r="E172" s="825">
        <f>'Overflow (4)'!G84</f>
        <v>0</v>
      </c>
      <c r="F172" s="826">
        <f t="shared" si="28"/>
        <v>0</v>
      </c>
      <c r="G172" s="960">
        <f t="shared" si="29"/>
        <v>0</v>
      </c>
      <c r="H172" s="122">
        <f>'Print Return'!L$41</f>
        <v>0</v>
      </c>
      <c r="I172" s="293">
        <f>IF('Overflow (4)'!O30&lt;2015,MIN(G172,H172)/2,MIN(G172,H172))</f>
        <v>0</v>
      </c>
      <c r="J172" s="960">
        <f t="shared" si="30"/>
        <v>0</v>
      </c>
      <c r="K172" s="293">
        <f t="shared" si="31"/>
        <v>0</v>
      </c>
      <c r="L172" s="860">
        <f>LOOKUP('Overflow (4)'!$C30,Cities!$A$3:$A$356,Cities!$D$3:$D$356)</f>
        <v>0</v>
      </c>
      <c r="M172" s="861">
        <f t="shared" si="32"/>
        <v>0</v>
      </c>
      <c r="O172" s="271">
        <f>LOOKUP('Overflow (4)'!$C30,Cities!$A$3:$A$356,Cities!$C$3:$C$356)</f>
        <v>0</v>
      </c>
      <c r="P172" s="857">
        <f>IF('Overflow (4)'!O30&lt;2015,'Print Return'!L$45,J172)</f>
        <v>0</v>
      </c>
      <c r="Q172" s="858">
        <f>'Overflow (4)'!$M30</f>
        <v>0</v>
      </c>
      <c r="R172" s="859">
        <f t="shared" si="33"/>
        <v>0</v>
      </c>
      <c r="S172" s="825">
        <f>'Overflow (4)'!G84</f>
        <v>0</v>
      </c>
      <c r="T172" s="826">
        <f t="shared" si="34"/>
        <v>0</v>
      </c>
      <c r="U172" s="860">
        <f>LOOKUP('Overflow (4)'!$C30,Cities!$A$3:$A$356,Cities!$D$3:$D$356)</f>
        <v>0</v>
      </c>
      <c r="V172" s="861">
        <f t="shared" si="35"/>
        <v>0</v>
      </c>
    </row>
    <row r="173" spans="1:22" x14ac:dyDescent="0.2">
      <c r="A173" s="271">
        <f>LOOKUP('Overflow (4)'!$C31,Cities!$A$3:$A$356,Cities!$C$3:$C$356)</f>
        <v>0</v>
      </c>
      <c r="B173" s="959">
        <f>'Print Return'!L$37</f>
        <v>0</v>
      </c>
      <c r="C173" s="858">
        <f>'Overflow (4)'!$M31</f>
        <v>0</v>
      </c>
      <c r="D173" s="859">
        <f t="shared" si="27"/>
        <v>0</v>
      </c>
      <c r="E173" s="825">
        <f>'Overflow (4)'!G85</f>
        <v>0</v>
      </c>
      <c r="F173" s="826">
        <f t="shared" si="28"/>
        <v>0</v>
      </c>
      <c r="G173" s="960">
        <f t="shared" si="29"/>
        <v>0</v>
      </c>
      <c r="H173" s="122">
        <f>'Print Return'!L$41</f>
        <v>0</v>
      </c>
      <c r="I173" s="293">
        <f>IF('Overflow (4)'!O31&lt;2015,MIN(G173,H173)/2,MIN(G173,H173))</f>
        <v>0</v>
      </c>
      <c r="J173" s="960">
        <f t="shared" si="30"/>
        <v>0</v>
      </c>
      <c r="K173" s="293">
        <f t="shared" si="31"/>
        <v>0</v>
      </c>
      <c r="L173" s="860">
        <f>LOOKUP('Overflow (4)'!$C31,Cities!$A$3:$A$356,Cities!$D$3:$D$356)</f>
        <v>0</v>
      </c>
      <c r="M173" s="861">
        <f t="shared" si="32"/>
        <v>0</v>
      </c>
      <c r="O173" s="271">
        <f>LOOKUP('Overflow (4)'!$C31,Cities!$A$3:$A$356,Cities!$C$3:$C$356)</f>
        <v>0</v>
      </c>
      <c r="P173" s="857">
        <f>IF('Overflow (4)'!O31&lt;2015,'Print Return'!L$45,J173)</f>
        <v>0</v>
      </c>
      <c r="Q173" s="858">
        <f>'Overflow (4)'!$M31</f>
        <v>0</v>
      </c>
      <c r="R173" s="859">
        <f t="shared" si="33"/>
        <v>0</v>
      </c>
      <c r="S173" s="825">
        <f>'Overflow (4)'!G85</f>
        <v>0</v>
      </c>
      <c r="T173" s="826">
        <f t="shared" si="34"/>
        <v>0</v>
      </c>
      <c r="U173" s="860">
        <f>LOOKUP('Overflow (4)'!$C31,Cities!$A$3:$A$356,Cities!$D$3:$D$356)</f>
        <v>0</v>
      </c>
      <c r="V173" s="861">
        <f t="shared" si="35"/>
        <v>0</v>
      </c>
    </row>
    <row r="174" spans="1:22" x14ac:dyDescent="0.2">
      <c r="A174" s="271">
        <f>LOOKUP('Overflow (4)'!$C32,Cities!$A$3:$A$356,Cities!$C$3:$C$356)</f>
        <v>0</v>
      </c>
      <c r="B174" s="959">
        <f>'Print Return'!L$37</f>
        <v>0</v>
      </c>
      <c r="C174" s="858">
        <f>'Overflow (4)'!$M32</f>
        <v>0</v>
      </c>
      <c r="D174" s="859">
        <f t="shared" si="27"/>
        <v>0</v>
      </c>
      <c r="E174" s="825">
        <f>'Overflow (4)'!G86</f>
        <v>0</v>
      </c>
      <c r="F174" s="826">
        <f t="shared" si="28"/>
        <v>0</v>
      </c>
      <c r="G174" s="960">
        <f t="shared" si="29"/>
        <v>0</v>
      </c>
      <c r="H174" s="122">
        <f>'Print Return'!L$41</f>
        <v>0</v>
      </c>
      <c r="I174" s="293">
        <f>IF('Overflow (4)'!O32&lt;2015,MIN(G174,H174)/2,MIN(G174,H174))</f>
        <v>0</v>
      </c>
      <c r="J174" s="960">
        <f t="shared" si="30"/>
        <v>0</v>
      </c>
      <c r="K174" s="293">
        <f t="shared" si="31"/>
        <v>0</v>
      </c>
      <c r="L174" s="860">
        <f>LOOKUP('Overflow (4)'!$C32,Cities!$A$3:$A$356,Cities!$D$3:$D$356)</f>
        <v>0</v>
      </c>
      <c r="M174" s="861">
        <f t="shared" si="32"/>
        <v>0</v>
      </c>
      <c r="O174" s="271">
        <f>LOOKUP('Overflow (4)'!$C32,Cities!$A$3:$A$356,Cities!$C$3:$C$356)</f>
        <v>0</v>
      </c>
      <c r="P174" s="857">
        <f>IF('Overflow (4)'!O32&lt;2015,'Print Return'!L$45,J174)</f>
        <v>0</v>
      </c>
      <c r="Q174" s="858">
        <f>'Overflow (4)'!$M32</f>
        <v>0</v>
      </c>
      <c r="R174" s="859">
        <f t="shared" si="33"/>
        <v>0</v>
      </c>
      <c r="S174" s="825">
        <f>'Overflow (4)'!G86</f>
        <v>0</v>
      </c>
      <c r="T174" s="826">
        <f t="shared" si="34"/>
        <v>0</v>
      </c>
      <c r="U174" s="860">
        <f>LOOKUP('Overflow (4)'!$C32,Cities!$A$3:$A$356,Cities!$D$3:$D$356)</f>
        <v>0</v>
      </c>
      <c r="V174" s="861">
        <f t="shared" si="35"/>
        <v>0</v>
      </c>
    </row>
    <row r="175" spans="1:22" x14ac:dyDescent="0.2">
      <c r="A175" s="271">
        <f>LOOKUP('Overflow (4)'!$C33,Cities!$A$3:$A$356,Cities!$C$3:$C$356)</f>
        <v>0</v>
      </c>
      <c r="B175" s="959">
        <f>'Print Return'!L$37</f>
        <v>0</v>
      </c>
      <c r="C175" s="858">
        <f>'Overflow (4)'!$M33</f>
        <v>0</v>
      </c>
      <c r="D175" s="859">
        <f t="shared" si="27"/>
        <v>0</v>
      </c>
      <c r="E175" s="825">
        <f>'Overflow (4)'!G87</f>
        <v>0</v>
      </c>
      <c r="F175" s="826">
        <f t="shared" si="28"/>
        <v>0</v>
      </c>
      <c r="G175" s="960">
        <f t="shared" si="29"/>
        <v>0</v>
      </c>
      <c r="H175" s="122">
        <f>'Print Return'!L$41</f>
        <v>0</v>
      </c>
      <c r="I175" s="293">
        <f>IF('Overflow (4)'!O33&lt;2015,MIN(G175,H175)/2,MIN(G175,H175))</f>
        <v>0</v>
      </c>
      <c r="J175" s="960">
        <f t="shared" si="30"/>
        <v>0</v>
      </c>
      <c r="K175" s="293">
        <f t="shared" si="31"/>
        <v>0</v>
      </c>
      <c r="L175" s="860">
        <f>LOOKUP('Overflow (4)'!$C33,Cities!$A$3:$A$356,Cities!$D$3:$D$356)</f>
        <v>0</v>
      </c>
      <c r="M175" s="861">
        <f t="shared" si="32"/>
        <v>0</v>
      </c>
      <c r="O175" s="271">
        <f>LOOKUP('Overflow (4)'!$C33,Cities!$A$3:$A$356,Cities!$C$3:$C$356)</f>
        <v>0</v>
      </c>
      <c r="P175" s="857">
        <f>IF('Overflow (4)'!O33&lt;2015,'Print Return'!L$45,J175)</f>
        <v>0</v>
      </c>
      <c r="Q175" s="858">
        <f>'Overflow (4)'!$M33</f>
        <v>0</v>
      </c>
      <c r="R175" s="859">
        <f t="shared" si="33"/>
        <v>0</v>
      </c>
      <c r="S175" s="825">
        <f>'Overflow (4)'!G87</f>
        <v>0</v>
      </c>
      <c r="T175" s="826">
        <f t="shared" si="34"/>
        <v>0</v>
      </c>
      <c r="U175" s="860">
        <f>LOOKUP('Overflow (4)'!$C33,Cities!$A$3:$A$356,Cities!$D$3:$D$356)</f>
        <v>0</v>
      </c>
      <c r="V175" s="861">
        <f t="shared" si="35"/>
        <v>0</v>
      </c>
    </row>
    <row r="176" spans="1:22" x14ac:dyDescent="0.2">
      <c r="A176" s="271">
        <f>LOOKUP('Overflow (4)'!$C34,Cities!$A$3:$A$356,Cities!$C$3:$C$356)</f>
        <v>0</v>
      </c>
      <c r="B176" s="959">
        <f>'Print Return'!L$37</f>
        <v>0</v>
      </c>
      <c r="C176" s="858">
        <f>'Overflow (4)'!$M34</f>
        <v>0</v>
      </c>
      <c r="D176" s="859">
        <f t="shared" si="27"/>
        <v>0</v>
      </c>
      <c r="E176" s="825">
        <f>'Overflow (4)'!G88</f>
        <v>0</v>
      </c>
      <c r="F176" s="826">
        <f t="shared" si="28"/>
        <v>0</v>
      </c>
      <c r="G176" s="960">
        <f t="shared" si="29"/>
        <v>0</v>
      </c>
      <c r="H176" s="122">
        <f>'Print Return'!L$41</f>
        <v>0</v>
      </c>
      <c r="I176" s="293">
        <f>IF('Overflow (4)'!O34&lt;2015,MIN(G176,H176)/2,MIN(G176,H176))</f>
        <v>0</v>
      </c>
      <c r="J176" s="960">
        <f t="shared" si="30"/>
        <v>0</v>
      </c>
      <c r="K176" s="293">
        <f t="shared" si="31"/>
        <v>0</v>
      </c>
      <c r="L176" s="860">
        <f>LOOKUP('Overflow (4)'!$C34,Cities!$A$3:$A$356,Cities!$D$3:$D$356)</f>
        <v>0</v>
      </c>
      <c r="M176" s="861">
        <f t="shared" si="32"/>
        <v>0</v>
      </c>
      <c r="O176" s="271">
        <f>LOOKUP('Overflow (4)'!$C34,Cities!$A$3:$A$356,Cities!$C$3:$C$356)</f>
        <v>0</v>
      </c>
      <c r="P176" s="857">
        <f>IF('Overflow (4)'!O34&lt;2015,'Print Return'!L$45,J176)</f>
        <v>0</v>
      </c>
      <c r="Q176" s="858">
        <f>'Overflow (4)'!$M34</f>
        <v>0</v>
      </c>
      <c r="R176" s="859">
        <f t="shared" si="33"/>
        <v>0</v>
      </c>
      <c r="S176" s="825">
        <f>'Overflow (4)'!G88</f>
        <v>0</v>
      </c>
      <c r="T176" s="826">
        <f t="shared" si="34"/>
        <v>0</v>
      </c>
      <c r="U176" s="860">
        <f>LOOKUP('Overflow (4)'!$C34,Cities!$A$3:$A$356,Cities!$D$3:$D$356)</f>
        <v>0</v>
      </c>
      <c r="V176" s="861">
        <f t="shared" si="35"/>
        <v>0</v>
      </c>
    </row>
    <row r="177" spans="1:22" x14ac:dyDescent="0.2">
      <c r="A177" s="271">
        <f>LOOKUP('Overflow (4)'!$C35,Cities!$A$3:$A$356,Cities!$C$3:$C$356)</f>
        <v>0</v>
      </c>
      <c r="B177" s="959">
        <f>'Print Return'!L$37</f>
        <v>0</v>
      </c>
      <c r="C177" s="858">
        <f>'Overflow (4)'!$M35</f>
        <v>0</v>
      </c>
      <c r="D177" s="859">
        <f t="shared" si="27"/>
        <v>0</v>
      </c>
      <c r="E177" s="825">
        <f>'Overflow (4)'!G89</f>
        <v>0</v>
      </c>
      <c r="F177" s="826">
        <f t="shared" si="28"/>
        <v>0</v>
      </c>
      <c r="G177" s="960">
        <f t="shared" si="29"/>
        <v>0</v>
      </c>
      <c r="H177" s="122">
        <f>'Print Return'!L$41</f>
        <v>0</v>
      </c>
      <c r="I177" s="293">
        <f>IF('Overflow (4)'!O35&lt;2015,MIN(G177,H177)/2,MIN(G177,H177))</f>
        <v>0</v>
      </c>
      <c r="J177" s="960">
        <f t="shared" si="30"/>
        <v>0</v>
      </c>
      <c r="K177" s="293">
        <f t="shared" si="31"/>
        <v>0</v>
      </c>
      <c r="L177" s="860">
        <f>LOOKUP('Overflow (4)'!$C35,Cities!$A$3:$A$356,Cities!$D$3:$D$356)</f>
        <v>0</v>
      </c>
      <c r="M177" s="861">
        <f t="shared" si="32"/>
        <v>0</v>
      </c>
      <c r="O177" s="271">
        <f>LOOKUP('Overflow (4)'!$C35,Cities!$A$3:$A$356,Cities!$C$3:$C$356)</f>
        <v>0</v>
      </c>
      <c r="P177" s="857">
        <f>IF('Overflow (4)'!O35&lt;2015,'Print Return'!L$45,J177)</f>
        <v>0</v>
      </c>
      <c r="Q177" s="858">
        <f>'Overflow (4)'!$M35</f>
        <v>0</v>
      </c>
      <c r="R177" s="859">
        <f t="shared" si="33"/>
        <v>0</v>
      </c>
      <c r="S177" s="825">
        <f>'Overflow (4)'!G89</f>
        <v>0</v>
      </c>
      <c r="T177" s="826">
        <f t="shared" si="34"/>
        <v>0</v>
      </c>
      <c r="U177" s="860">
        <f>LOOKUP('Overflow (4)'!$C35,Cities!$A$3:$A$356,Cities!$D$3:$D$356)</f>
        <v>0</v>
      </c>
      <c r="V177" s="861">
        <f t="shared" si="35"/>
        <v>0</v>
      </c>
    </row>
    <row r="178" spans="1:22" x14ac:dyDescent="0.2">
      <c r="A178" s="271">
        <f>LOOKUP('Overflow (4)'!$C36,Cities!$A$3:$A$356,Cities!$C$3:$C$356)</f>
        <v>0</v>
      </c>
      <c r="B178" s="959">
        <f>'Print Return'!L$37</f>
        <v>0</v>
      </c>
      <c r="C178" s="858">
        <f>'Overflow (4)'!$M36</f>
        <v>0</v>
      </c>
      <c r="D178" s="859">
        <f t="shared" si="27"/>
        <v>0</v>
      </c>
      <c r="E178" s="825">
        <f>'Overflow (4)'!G90</f>
        <v>0</v>
      </c>
      <c r="F178" s="826">
        <f t="shared" si="28"/>
        <v>0</v>
      </c>
      <c r="G178" s="960">
        <f t="shared" si="29"/>
        <v>0</v>
      </c>
      <c r="H178" s="122">
        <f>'Print Return'!L$41</f>
        <v>0</v>
      </c>
      <c r="I178" s="293">
        <f>IF('Overflow (4)'!O36&lt;2015,MIN(G178,H178)/2,MIN(G178,H178))</f>
        <v>0</v>
      </c>
      <c r="J178" s="960">
        <f t="shared" si="30"/>
        <v>0</v>
      </c>
      <c r="K178" s="293">
        <f t="shared" si="31"/>
        <v>0</v>
      </c>
      <c r="L178" s="860">
        <f>LOOKUP('Overflow (4)'!$C36,Cities!$A$3:$A$356,Cities!$D$3:$D$356)</f>
        <v>0</v>
      </c>
      <c r="M178" s="861">
        <f t="shared" si="32"/>
        <v>0</v>
      </c>
      <c r="O178" s="271">
        <f>LOOKUP('Overflow (4)'!$C36,Cities!$A$3:$A$356,Cities!$C$3:$C$356)</f>
        <v>0</v>
      </c>
      <c r="P178" s="857">
        <f>IF('Overflow (4)'!O36&lt;2015,'Print Return'!L$45,J178)</f>
        <v>0</v>
      </c>
      <c r="Q178" s="858">
        <f>'Overflow (4)'!$M36</f>
        <v>0</v>
      </c>
      <c r="R178" s="859">
        <f t="shared" si="33"/>
        <v>0</v>
      </c>
      <c r="S178" s="825">
        <f>'Overflow (4)'!G90</f>
        <v>0</v>
      </c>
      <c r="T178" s="826">
        <f t="shared" si="34"/>
        <v>0</v>
      </c>
      <c r="U178" s="860">
        <f>LOOKUP('Overflow (4)'!$C36,Cities!$A$3:$A$356,Cities!$D$3:$D$356)</f>
        <v>0</v>
      </c>
      <c r="V178" s="861">
        <f t="shared" si="35"/>
        <v>0</v>
      </c>
    </row>
    <row r="179" spans="1:22" x14ac:dyDescent="0.2">
      <c r="A179" s="271">
        <f>LOOKUP('Overflow (4)'!$C37,Cities!$A$3:$A$356,Cities!$C$3:$C$356)</f>
        <v>0</v>
      </c>
      <c r="B179" s="959">
        <f>'Print Return'!L$37</f>
        <v>0</v>
      </c>
      <c r="C179" s="858">
        <f>'Overflow (4)'!$M37</f>
        <v>0</v>
      </c>
      <c r="D179" s="859">
        <f t="shared" si="27"/>
        <v>0</v>
      </c>
      <c r="E179" s="825">
        <f>'Overflow (4)'!G91</f>
        <v>0</v>
      </c>
      <c r="F179" s="826">
        <f t="shared" si="28"/>
        <v>0</v>
      </c>
      <c r="G179" s="960">
        <f t="shared" si="29"/>
        <v>0</v>
      </c>
      <c r="H179" s="122">
        <f>'Print Return'!L$41</f>
        <v>0</v>
      </c>
      <c r="I179" s="293">
        <f>IF('Overflow (4)'!O37&lt;2015,MIN(G179,H179)/2,MIN(G179,H179))</f>
        <v>0</v>
      </c>
      <c r="J179" s="960">
        <f t="shared" si="30"/>
        <v>0</v>
      </c>
      <c r="K179" s="293">
        <f t="shared" si="31"/>
        <v>0</v>
      </c>
      <c r="L179" s="860">
        <f>LOOKUP('Overflow (4)'!$C37,Cities!$A$3:$A$356,Cities!$D$3:$D$356)</f>
        <v>0</v>
      </c>
      <c r="M179" s="861">
        <f t="shared" si="32"/>
        <v>0</v>
      </c>
      <c r="O179" s="271">
        <f>LOOKUP('Overflow (4)'!$C37,Cities!$A$3:$A$356,Cities!$C$3:$C$356)</f>
        <v>0</v>
      </c>
      <c r="P179" s="857">
        <f>IF('Overflow (4)'!O37&lt;2015,'Print Return'!L$45,J179)</f>
        <v>0</v>
      </c>
      <c r="Q179" s="858">
        <f>'Overflow (4)'!$M37</f>
        <v>0</v>
      </c>
      <c r="R179" s="859">
        <f t="shared" si="33"/>
        <v>0</v>
      </c>
      <c r="S179" s="825">
        <f>'Overflow (4)'!G91</f>
        <v>0</v>
      </c>
      <c r="T179" s="826">
        <f t="shared" si="34"/>
        <v>0</v>
      </c>
      <c r="U179" s="860">
        <f>LOOKUP('Overflow (4)'!$C37,Cities!$A$3:$A$356,Cities!$D$3:$D$356)</f>
        <v>0</v>
      </c>
      <c r="V179" s="861">
        <f t="shared" si="35"/>
        <v>0</v>
      </c>
    </row>
    <row r="180" spans="1:22" x14ac:dyDescent="0.2">
      <c r="A180" s="271">
        <f>LOOKUP('Overflow (4)'!$C38,Cities!$A$3:$A$356,Cities!$C$3:$C$356)</f>
        <v>0</v>
      </c>
      <c r="B180" s="959">
        <f>'Print Return'!L$37</f>
        <v>0</v>
      </c>
      <c r="C180" s="858">
        <f>'Overflow (4)'!$M38</f>
        <v>0</v>
      </c>
      <c r="D180" s="859">
        <f t="shared" si="27"/>
        <v>0</v>
      </c>
      <c r="E180" s="825">
        <f>'Overflow (4)'!G92</f>
        <v>0</v>
      </c>
      <c r="F180" s="826">
        <f t="shared" si="28"/>
        <v>0</v>
      </c>
      <c r="G180" s="960">
        <f t="shared" si="29"/>
        <v>0</v>
      </c>
      <c r="H180" s="122">
        <f>'Print Return'!L$41</f>
        <v>0</v>
      </c>
      <c r="I180" s="293">
        <f>IF('Overflow (4)'!O38&lt;2015,MIN(G180,H180)/2,MIN(G180,H180))</f>
        <v>0</v>
      </c>
      <c r="J180" s="960">
        <f t="shared" si="30"/>
        <v>0</v>
      </c>
      <c r="K180" s="293">
        <f t="shared" si="31"/>
        <v>0</v>
      </c>
      <c r="L180" s="860">
        <f>LOOKUP('Overflow (4)'!$C38,Cities!$A$3:$A$356,Cities!$D$3:$D$356)</f>
        <v>0</v>
      </c>
      <c r="M180" s="861">
        <f t="shared" si="32"/>
        <v>0</v>
      </c>
      <c r="O180" s="271">
        <f>LOOKUP('Overflow (4)'!$C38,Cities!$A$3:$A$356,Cities!$C$3:$C$356)</f>
        <v>0</v>
      </c>
      <c r="P180" s="857">
        <f>IF('Overflow (4)'!O38&lt;2015,'Print Return'!L$45,J180)</f>
        <v>0</v>
      </c>
      <c r="Q180" s="858">
        <f>'Overflow (4)'!$M38</f>
        <v>0</v>
      </c>
      <c r="R180" s="859">
        <f t="shared" si="33"/>
        <v>0</v>
      </c>
      <c r="S180" s="825">
        <f>'Overflow (4)'!G92</f>
        <v>0</v>
      </c>
      <c r="T180" s="826">
        <f t="shared" si="34"/>
        <v>0</v>
      </c>
      <c r="U180" s="860">
        <f>LOOKUP('Overflow (4)'!$C38,Cities!$A$3:$A$356,Cities!$D$3:$D$356)</f>
        <v>0</v>
      </c>
      <c r="V180" s="861">
        <f t="shared" si="35"/>
        <v>0</v>
      </c>
    </row>
    <row r="181" spans="1:22" x14ac:dyDescent="0.2">
      <c r="A181" s="271">
        <f>LOOKUP('Overflow (4)'!$C39,Cities!$A$3:$A$356,Cities!$C$3:$C$356)</f>
        <v>0</v>
      </c>
      <c r="B181" s="959">
        <f>'Print Return'!L$37</f>
        <v>0</v>
      </c>
      <c r="C181" s="858">
        <f>'Overflow (4)'!$M39</f>
        <v>0</v>
      </c>
      <c r="D181" s="859">
        <f t="shared" si="27"/>
        <v>0</v>
      </c>
      <c r="E181" s="825">
        <f>'Overflow (4)'!G93</f>
        <v>0</v>
      </c>
      <c r="F181" s="826">
        <f t="shared" si="28"/>
        <v>0</v>
      </c>
      <c r="G181" s="960">
        <f t="shared" si="29"/>
        <v>0</v>
      </c>
      <c r="H181" s="122">
        <f>'Print Return'!L$41</f>
        <v>0</v>
      </c>
      <c r="I181" s="293">
        <f>IF('Overflow (4)'!O39&lt;2015,MIN(G181,H181)/2,MIN(G181,H181))</f>
        <v>0</v>
      </c>
      <c r="J181" s="960">
        <f t="shared" si="30"/>
        <v>0</v>
      </c>
      <c r="K181" s="293">
        <f t="shared" si="31"/>
        <v>0</v>
      </c>
      <c r="L181" s="860">
        <f>LOOKUP('Overflow (4)'!$C39,Cities!$A$3:$A$356,Cities!$D$3:$D$356)</f>
        <v>0</v>
      </c>
      <c r="M181" s="861">
        <f t="shared" si="32"/>
        <v>0</v>
      </c>
      <c r="O181" s="271">
        <f>LOOKUP('Overflow (4)'!$C39,Cities!$A$3:$A$356,Cities!$C$3:$C$356)</f>
        <v>0</v>
      </c>
      <c r="P181" s="857">
        <f>IF('Overflow (4)'!O39&lt;2015,'Print Return'!L$45,J181)</f>
        <v>0</v>
      </c>
      <c r="Q181" s="858">
        <f>'Overflow (4)'!$M39</f>
        <v>0</v>
      </c>
      <c r="R181" s="859">
        <f t="shared" si="33"/>
        <v>0</v>
      </c>
      <c r="S181" s="825">
        <f>'Overflow (4)'!G93</f>
        <v>0</v>
      </c>
      <c r="T181" s="826">
        <f t="shared" si="34"/>
        <v>0</v>
      </c>
      <c r="U181" s="860">
        <f>LOOKUP('Overflow (4)'!$C39,Cities!$A$3:$A$356,Cities!$D$3:$D$356)</f>
        <v>0</v>
      </c>
      <c r="V181" s="861">
        <f t="shared" si="35"/>
        <v>0</v>
      </c>
    </row>
    <row r="182" spans="1:22" x14ac:dyDescent="0.2">
      <c r="A182" s="271">
        <f>LOOKUP('Overflow (4)'!$C40,Cities!$A$3:$A$356,Cities!$C$3:$C$356)</f>
        <v>0</v>
      </c>
      <c r="B182" s="959">
        <f>'Print Return'!L$37</f>
        <v>0</v>
      </c>
      <c r="C182" s="858">
        <f>'Overflow (4)'!$M40</f>
        <v>0</v>
      </c>
      <c r="D182" s="859">
        <f t="shared" si="27"/>
        <v>0</v>
      </c>
      <c r="E182" s="825">
        <f>'Overflow (4)'!G94</f>
        <v>0</v>
      </c>
      <c r="F182" s="826">
        <f t="shared" si="28"/>
        <v>0</v>
      </c>
      <c r="G182" s="960">
        <f t="shared" si="29"/>
        <v>0</v>
      </c>
      <c r="H182" s="122">
        <f>'Print Return'!L$41</f>
        <v>0</v>
      </c>
      <c r="I182" s="293">
        <f>IF('Overflow (4)'!O40&lt;2015,MIN(G182,H182)/2,MIN(G182,H182))</f>
        <v>0</v>
      </c>
      <c r="J182" s="960">
        <f t="shared" si="30"/>
        <v>0</v>
      </c>
      <c r="K182" s="293">
        <f t="shared" si="31"/>
        <v>0</v>
      </c>
      <c r="L182" s="860">
        <f>LOOKUP('Overflow (4)'!$C40,Cities!$A$3:$A$356,Cities!$D$3:$D$356)</f>
        <v>0</v>
      </c>
      <c r="M182" s="861">
        <f t="shared" si="32"/>
        <v>0</v>
      </c>
      <c r="O182" s="271">
        <f>LOOKUP('Overflow (4)'!$C40,Cities!$A$3:$A$356,Cities!$C$3:$C$356)</f>
        <v>0</v>
      </c>
      <c r="P182" s="857">
        <f>IF('Overflow (4)'!O40&lt;2015,'Print Return'!L$45,J182)</f>
        <v>0</v>
      </c>
      <c r="Q182" s="858">
        <f>'Overflow (4)'!$M40</f>
        <v>0</v>
      </c>
      <c r="R182" s="859">
        <f t="shared" si="33"/>
        <v>0</v>
      </c>
      <c r="S182" s="825">
        <f>'Overflow (4)'!G94</f>
        <v>0</v>
      </c>
      <c r="T182" s="826">
        <f t="shared" si="34"/>
        <v>0</v>
      </c>
      <c r="U182" s="860">
        <f>LOOKUP('Overflow (4)'!$C40,Cities!$A$3:$A$356,Cities!$D$3:$D$356)</f>
        <v>0</v>
      </c>
      <c r="V182" s="861">
        <f t="shared" si="35"/>
        <v>0</v>
      </c>
    </row>
    <row r="183" spans="1:22" x14ac:dyDescent="0.2">
      <c r="A183" s="271">
        <f>LOOKUP('Overflow (4)'!$C41,Cities!$A$3:$A$356,Cities!$C$3:$C$356)</f>
        <v>0</v>
      </c>
      <c r="B183" s="959">
        <f>'Print Return'!L$37</f>
        <v>0</v>
      </c>
      <c r="C183" s="858">
        <f>'Overflow (4)'!$M41</f>
        <v>0</v>
      </c>
      <c r="D183" s="859">
        <f t="shared" si="27"/>
        <v>0</v>
      </c>
      <c r="E183" s="825">
        <f>'Overflow (4)'!G95</f>
        <v>0</v>
      </c>
      <c r="F183" s="826">
        <f t="shared" si="28"/>
        <v>0</v>
      </c>
      <c r="G183" s="960">
        <f t="shared" si="29"/>
        <v>0</v>
      </c>
      <c r="H183" s="122">
        <f>'Print Return'!L$41</f>
        <v>0</v>
      </c>
      <c r="I183" s="293">
        <f>IF('Overflow (4)'!O41&lt;2015,MIN(G183,H183)/2,MIN(G183,H183))</f>
        <v>0</v>
      </c>
      <c r="J183" s="960">
        <f t="shared" si="30"/>
        <v>0</v>
      </c>
      <c r="K183" s="293">
        <f t="shared" si="31"/>
        <v>0</v>
      </c>
      <c r="L183" s="860">
        <f>LOOKUP('Overflow (4)'!$C41,Cities!$A$3:$A$356,Cities!$D$3:$D$356)</f>
        <v>0</v>
      </c>
      <c r="M183" s="861">
        <f t="shared" si="32"/>
        <v>0</v>
      </c>
      <c r="O183" s="271">
        <f>LOOKUP('Overflow (4)'!$C41,Cities!$A$3:$A$356,Cities!$C$3:$C$356)</f>
        <v>0</v>
      </c>
      <c r="P183" s="857">
        <f>IF('Overflow (4)'!O41&lt;2015,'Print Return'!L$45,J183)</f>
        <v>0</v>
      </c>
      <c r="Q183" s="858">
        <f>'Overflow (4)'!$M41</f>
        <v>0</v>
      </c>
      <c r="R183" s="859">
        <f t="shared" si="33"/>
        <v>0</v>
      </c>
      <c r="S183" s="825">
        <f>'Overflow (4)'!G95</f>
        <v>0</v>
      </c>
      <c r="T183" s="826">
        <f t="shared" si="34"/>
        <v>0</v>
      </c>
      <c r="U183" s="860">
        <f>LOOKUP('Overflow (4)'!$C41,Cities!$A$3:$A$356,Cities!$D$3:$D$356)</f>
        <v>0</v>
      </c>
      <c r="V183" s="861">
        <f t="shared" si="35"/>
        <v>0</v>
      </c>
    </row>
    <row r="184" spans="1:22" x14ac:dyDescent="0.2">
      <c r="A184" s="271">
        <f>LOOKUP('Overflow (4)'!$C42,Cities!$A$3:$A$356,Cities!$C$3:$C$356)</f>
        <v>0</v>
      </c>
      <c r="B184" s="959">
        <f>'Print Return'!L$37</f>
        <v>0</v>
      </c>
      <c r="C184" s="858">
        <f>'Overflow (4)'!$M42</f>
        <v>0</v>
      </c>
      <c r="D184" s="859">
        <f t="shared" si="27"/>
        <v>0</v>
      </c>
      <c r="E184" s="825">
        <f>'Overflow (4)'!G96</f>
        <v>0</v>
      </c>
      <c r="F184" s="826">
        <f t="shared" si="28"/>
        <v>0</v>
      </c>
      <c r="G184" s="960">
        <f t="shared" si="29"/>
        <v>0</v>
      </c>
      <c r="H184" s="122">
        <f>'Print Return'!L$41</f>
        <v>0</v>
      </c>
      <c r="I184" s="293">
        <f>IF('Overflow (4)'!O42&lt;2015,MIN(G184,H184)/2,MIN(G184,H184))</f>
        <v>0</v>
      </c>
      <c r="J184" s="960">
        <f t="shared" si="30"/>
        <v>0</v>
      </c>
      <c r="K184" s="293">
        <f t="shared" si="31"/>
        <v>0</v>
      </c>
      <c r="L184" s="860">
        <f>LOOKUP('Overflow (4)'!$C42,Cities!$A$3:$A$356,Cities!$D$3:$D$356)</f>
        <v>0</v>
      </c>
      <c r="M184" s="861">
        <f t="shared" si="32"/>
        <v>0</v>
      </c>
      <c r="O184" s="271">
        <f>LOOKUP('Overflow (4)'!$C42,Cities!$A$3:$A$356,Cities!$C$3:$C$356)</f>
        <v>0</v>
      </c>
      <c r="P184" s="857">
        <f>IF('Overflow (4)'!O42&lt;2015,'Print Return'!L$45,J184)</f>
        <v>0</v>
      </c>
      <c r="Q184" s="858">
        <f>'Overflow (4)'!$M42</f>
        <v>0</v>
      </c>
      <c r="R184" s="859">
        <f t="shared" si="33"/>
        <v>0</v>
      </c>
      <c r="S184" s="825">
        <f>'Overflow (4)'!G96</f>
        <v>0</v>
      </c>
      <c r="T184" s="826">
        <f t="shared" si="34"/>
        <v>0</v>
      </c>
      <c r="U184" s="860">
        <f>LOOKUP('Overflow (4)'!$C42,Cities!$A$3:$A$356,Cities!$D$3:$D$356)</f>
        <v>0</v>
      </c>
      <c r="V184" s="861">
        <f t="shared" si="35"/>
        <v>0</v>
      </c>
    </row>
    <row r="185" spans="1:22" x14ac:dyDescent="0.2">
      <c r="A185" s="271">
        <f>LOOKUP('Overflow (4)'!$C43,Cities!$A$3:$A$356,Cities!$C$3:$C$356)</f>
        <v>0</v>
      </c>
      <c r="B185" s="959">
        <f>'Print Return'!L$37</f>
        <v>0</v>
      </c>
      <c r="C185" s="858">
        <f>'Overflow (4)'!$M43</f>
        <v>0</v>
      </c>
      <c r="D185" s="859">
        <f t="shared" si="27"/>
        <v>0</v>
      </c>
      <c r="E185" s="825">
        <f>'Overflow (4)'!G97</f>
        <v>0</v>
      </c>
      <c r="F185" s="826">
        <f t="shared" si="28"/>
        <v>0</v>
      </c>
      <c r="G185" s="960">
        <f t="shared" si="29"/>
        <v>0</v>
      </c>
      <c r="H185" s="122">
        <f>'Print Return'!L$41</f>
        <v>0</v>
      </c>
      <c r="I185" s="293">
        <f>IF('Overflow (4)'!O43&lt;2015,MIN(G185,H185)/2,MIN(G185,H185))</f>
        <v>0</v>
      </c>
      <c r="J185" s="960">
        <f t="shared" si="30"/>
        <v>0</v>
      </c>
      <c r="K185" s="293">
        <f t="shared" si="31"/>
        <v>0</v>
      </c>
      <c r="L185" s="860">
        <f>LOOKUP('Overflow (4)'!$C43,Cities!$A$3:$A$356,Cities!$D$3:$D$356)</f>
        <v>0</v>
      </c>
      <c r="M185" s="861">
        <f t="shared" si="32"/>
        <v>0</v>
      </c>
      <c r="O185" s="271">
        <f>LOOKUP('Overflow (4)'!$C43,Cities!$A$3:$A$356,Cities!$C$3:$C$356)</f>
        <v>0</v>
      </c>
      <c r="P185" s="857">
        <f>IF('Overflow (4)'!O43&lt;2015,'Print Return'!L$45,J185)</f>
        <v>0</v>
      </c>
      <c r="Q185" s="858">
        <f>'Overflow (4)'!$M43</f>
        <v>0</v>
      </c>
      <c r="R185" s="859">
        <f t="shared" si="33"/>
        <v>0</v>
      </c>
      <c r="S185" s="825">
        <f>'Overflow (4)'!G97</f>
        <v>0</v>
      </c>
      <c r="T185" s="826">
        <f t="shared" si="34"/>
        <v>0</v>
      </c>
      <c r="U185" s="860">
        <f>LOOKUP('Overflow (4)'!$C43,Cities!$A$3:$A$356,Cities!$D$3:$D$356)</f>
        <v>0</v>
      </c>
      <c r="V185" s="861">
        <f t="shared" si="35"/>
        <v>0</v>
      </c>
    </row>
    <row r="186" spans="1:22" x14ac:dyDescent="0.2">
      <c r="A186" s="271">
        <f>LOOKUP('Overflow (4)'!$C44,Cities!$A$3:$A$356,Cities!$C$3:$C$356)</f>
        <v>0</v>
      </c>
      <c r="B186" s="959">
        <f>'Print Return'!L$37</f>
        <v>0</v>
      </c>
      <c r="C186" s="858">
        <f>'Overflow (4)'!$M44</f>
        <v>0</v>
      </c>
      <c r="D186" s="859">
        <f t="shared" si="27"/>
        <v>0</v>
      </c>
      <c r="E186" s="825">
        <f>'Overflow (4)'!G98</f>
        <v>0</v>
      </c>
      <c r="F186" s="826">
        <f t="shared" si="28"/>
        <v>0</v>
      </c>
      <c r="G186" s="960">
        <f t="shared" si="29"/>
        <v>0</v>
      </c>
      <c r="H186" s="122">
        <f>'Print Return'!L$41</f>
        <v>0</v>
      </c>
      <c r="I186" s="293">
        <f>IF('Overflow (4)'!O44&lt;2015,MIN(G186,H186)/2,MIN(G186,H186))</f>
        <v>0</v>
      </c>
      <c r="J186" s="960">
        <f t="shared" si="30"/>
        <v>0</v>
      </c>
      <c r="K186" s="293">
        <f t="shared" si="31"/>
        <v>0</v>
      </c>
      <c r="L186" s="860">
        <f>LOOKUP('Overflow (4)'!$C44,Cities!$A$3:$A$356,Cities!$D$3:$D$356)</f>
        <v>0</v>
      </c>
      <c r="M186" s="861">
        <f t="shared" si="32"/>
        <v>0</v>
      </c>
      <c r="O186" s="271">
        <f>LOOKUP('Overflow (4)'!$C44,Cities!$A$3:$A$356,Cities!$C$3:$C$356)</f>
        <v>0</v>
      </c>
      <c r="P186" s="857">
        <f>IF('Overflow (4)'!O44&lt;2015,'Print Return'!L$45,J186)</f>
        <v>0</v>
      </c>
      <c r="Q186" s="858">
        <f>'Overflow (4)'!$M44</f>
        <v>0</v>
      </c>
      <c r="R186" s="859">
        <f t="shared" si="33"/>
        <v>0</v>
      </c>
      <c r="S186" s="825">
        <f>'Overflow (4)'!G98</f>
        <v>0</v>
      </c>
      <c r="T186" s="826">
        <f t="shared" si="34"/>
        <v>0</v>
      </c>
      <c r="U186" s="860">
        <f>LOOKUP('Overflow (4)'!$C44,Cities!$A$3:$A$356,Cities!$D$3:$D$356)</f>
        <v>0</v>
      </c>
      <c r="V186" s="861">
        <f t="shared" si="35"/>
        <v>0</v>
      </c>
    </row>
    <row r="187" spans="1:22" x14ac:dyDescent="0.2">
      <c r="A187" s="271">
        <f>LOOKUP('Overflow (4)'!$C45,Cities!$A$3:$A$356,Cities!$C$3:$C$356)</f>
        <v>0</v>
      </c>
      <c r="B187" s="959">
        <f>'Print Return'!L$37</f>
        <v>0</v>
      </c>
      <c r="C187" s="858">
        <f>'Overflow (4)'!$M45</f>
        <v>0</v>
      </c>
      <c r="D187" s="859">
        <f t="shared" si="27"/>
        <v>0</v>
      </c>
      <c r="E187" s="825">
        <f>'Overflow (4)'!G99</f>
        <v>0</v>
      </c>
      <c r="F187" s="826">
        <f t="shared" si="28"/>
        <v>0</v>
      </c>
      <c r="G187" s="960">
        <f t="shared" si="29"/>
        <v>0</v>
      </c>
      <c r="H187" s="122">
        <f>'Print Return'!L$41</f>
        <v>0</v>
      </c>
      <c r="I187" s="293">
        <f>IF('Overflow (4)'!O45&lt;2015,MIN(G187,H187)/2,MIN(G187,H187))</f>
        <v>0</v>
      </c>
      <c r="J187" s="960">
        <f t="shared" si="30"/>
        <v>0</v>
      </c>
      <c r="K187" s="293">
        <f t="shared" si="31"/>
        <v>0</v>
      </c>
      <c r="L187" s="860">
        <f>LOOKUP('Overflow (4)'!$C45,Cities!$A$3:$A$356,Cities!$D$3:$D$356)</f>
        <v>0</v>
      </c>
      <c r="M187" s="861">
        <f t="shared" si="32"/>
        <v>0</v>
      </c>
      <c r="O187" s="271">
        <f>LOOKUP('Overflow (4)'!$C45,Cities!$A$3:$A$356,Cities!$C$3:$C$356)</f>
        <v>0</v>
      </c>
      <c r="P187" s="857">
        <f>IF('Overflow (4)'!O45&lt;2015,'Print Return'!L$45,J187)</f>
        <v>0</v>
      </c>
      <c r="Q187" s="858">
        <f>'Overflow (4)'!$M45</f>
        <v>0</v>
      </c>
      <c r="R187" s="859">
        <f t="shared" si="33"/>
        <v>0</v>
      </c>
      <c r="S187" s="825">
        <f>'Overflow (4)'!G99</f>
        <v>0</v>
      </c>
      <c r="T187" s="826">
        <f t="shared" si="34"/>
        <v>0</v>
      </c>
      <c r="U187" s="860">
        <f>LOOKUP('Overflow (4)'!$C45,Cities!$A$3:$A$356,Cities!$D$3:$D$356)</f>
        <v>0</v>
      </c>
      <c r="V187" s="861">
        <f t="shared" si="35"/>
        <v>0</v>
      </c>
    </row>
    <row r="188" spans="1:22" x14ac:dyDescent="0.2">
      <c r="A188" s="271">
        <f>LOOKUP('Overflow (4)'!$C46,Cities!$A$3:$A$356,Cities!$C$3:$C$356)</f>
        <v>0</v>
      </c>
      <c r="B188" s="959">
        <f>'Print Return'!L$37</f>
        <v>0</v>
      </c>
      <c r="C188" s="858">
        <f>'Overflow (4)'!$M46</f>
        <v>0</v>
      </c>
      <c r="D188" s="859">
        <f t="shared" si="27"/>
        <v>0</v>
      </c>
      <c r="E188" s="825">
        <f>'Overflow (4)'!G100</f>
        <v>0</v>
      </c>
      <c r="F188" s="826">
        <f t="shared" si="28"/>
        <v>0</v>
      </c>
      <c r="G188" s="960">
        <f t="shared" si="29"/>
        <v>0</v>
      </c>
      <c r="H188" s="122">
        <f>'Print Return'!L$41</f>
        <v>0</v>
      </c>
      <c r="I188" s="293">
        <f>IF('Overflow (4)'!O46&lt;2015,MIN(G188,H188)/2,MIN(G188,H188))</f>
        <v>0</v>
      </c>
      <c r="J188" s="960">
        <f t="shared" si="30"/>
        <v>0</v>
      </c>
      <c r="K188" s="293">
        <f t="shared" si="31"/>
        <v>0</v>
      </c>
      <c r="L188" s="860">
        <f>LOOKUP('Overflow (4)'!$C46,Cities!$A$3:$A$356,Cities!$D$3:$D$356)</f>
        <v>0</v>
      </c>
      <c r="M188" s="861">
        <f t="shared" si="32"/>
        <v>0</v>
      </c>
      <c r="O188" s="271">
        <f>LOOKUP('Overflow (4)'!$C46,Cities!$A$3:$A$356,Cities!$C$3:$C$356)</f>
        <v>0</v>
      </c>
      <c r="P188" s="857">
        <f>IF('Overflow (4)'!O46&lt;2015,'Print Return'!L$45,J188)</f>
        <v>0</v>
      </c>
      <c r="Q188" s="858">
        <f>'Overflow (4)'!$M46</f>
        <v>0</v>
      </c>
      <c r="R188" s="859">
        <f t="shared" si="33"/>
        <v>0</v>
      </c>
      <c r="S188" s="825">
        <f>'Overflow (4)'!G100</f>
        <v>0</v>
      </c>
      <c r="T188" s="826">
        <f t="shared" si="34"/>
        <v>0</v>
      </c>
      <c r="U188" s="860">
        <f>LOOKUP('Overflow (4)'!$C46,Cities!$A$3:$A$356,Cities!$D$3:$D$356)</f>
        <v>0</v>
      </c>
      <c r="V188" s="861">
        <f t="shared" si="35"/>
        <v>0</v>
      </c>
    </row>
    <row r="189" spans="1:22" x14ac:dyDescent="0.2">
      <c r="A189" s="271">
        <f>LOOKUP('Overflow (4)'!$C47,Cities!$A$3:$A$356,Cities!$C$3:$C$356)</f>
        <v>0</v>
      </c>
      <c r="B189" s="959">
        <f>'Print Return'!L$37</f>
        <v>0</v>
      </c>
      <c r="C189" s="858">
        <f>'Overflow (4)'!$M47</f>
        <v>0</v>
      </c>
      <c r="D189" s="859">
        <f t="shared" si="27"/>
        <v>0</v>
      </c>
      <c r="E189" s="825">
        <f>'Overflow (4)'!G101</f>
        <v>0</v>
      </c>
      <c r="F189" s="826">
        <f t="shared" si="28"/>
        <v>0</v>
      </c>
      <c r="G189" s="960">
        <f t="shared" si="29"/>
        <v>0</v>
      </c>
      <c r="H189" s="122">
        <f>'Print Return'!L$41</f>
        <v>0</v>
      </c>
      <c r="I189" s="293">
        <f>IF('Overflow (4)'!O47&lt;2015,MIN(G189,H189)/2,MIN(G189,H189))</f>
        <v>0</v>
      </c>
      <c r="J189" s="960">
        <f t="shared" si="30"/>
        <v>0</v>
      </c>
      <c r="K189" s="293">
        <f t="shared" si="31"/>
        <v>0</v>
      </c>
      <c r="L189" s="860">
        <f>LOOKUP('Overflow (4)'!$C47,Cities!$A$3:$A$356,Cities!$D$3:$D$356)</f>
        <v>0</v>
      </c>
      <c r="M189" s="861">
        <f t="shared" si="32"/>
        <v>0</v>
      </c>
      <c r="O189" s="271">
        <f>LOOKUP('Overflow (4)'!$C47,Cities!$A$3:$A$356,Cities!$C$3:$C$356)</f>
        <v>0</v>
      </c>
      <c r="P189" s="857">
        <f>IF('Overflow (4)'!O47&lt;2015,'Print Return'!L$45,J189)</f>
        <v>0</v>
      </c>
      <c r="Q189" s="858">
        <f>'Overflow (4)'!$M47</f>
        <v>0</v>
      </c>
      <c r="R189" s="859">
        <f t="shared" si="33"/>
        <v>0</v>
      </c>
      <c r="S189" s="825">
        <f>'Overflow (4)'!G101</f>
        <v>0</v>
      </c>
      <c r="T189" s="826">
        <f t="shared" si="34"/>
        <v>0</v>
      </c>
      <c r="U189" s="860">
        <f>LOOKUP('Overflow (4)'!$C47,Cities!$A$3:$A$356,Cities!$D$3:$D$356)</f>
        <v>0</v>
      </c>
      <c r="V189" s="861">
        <f t="shared" si="35"/>
        <v>0</v>
      </c>
    </row>
    <row r="190" spans="1:22" x14ac:dyDescent="0.2">
      <c r="A190" s="271">
        <f>LOOKUP('Overflow (4)'!$C48,Cities!$A$3:$A$356,Cities!$C$3:$C$356)</f>
        <v>0</v>
      </c>
      <c r="B190" s="959">
        <f>'Print Return'!L$37</f>
        <v>0</v>
      </c>
      <c r="C190" s="858">
        <f>'Overflow (4)'!$M48</f>
        <v>0</v>
      </c>
      <c r="D190" s="859">
        <f t="shared" si="27"/>
        <v>0</v>
      </c>
      <c r="E190" s="825">
        <f>'Overflow (4)'!G102</f>
        <v>0</v>
      </c>
      <c r="F190" s="826">
        <f t="shared" si="28"/>
        <v>0</v>
      </c>
      <c r="G190" s="960">
        <f t="shared" si="29"/>
        <v>0</v>
      </c>
      <c r="H190" s="122">
        <f>'Print Return'!L$41</f>
        <v>0</v>
      </c>
      <c r="I190" s="293">
        <f>IF('Overflow (4)'!O48&lt;2015,MIN(G190,H190)/2,MIN(G190,H190))</f>
        <v>0</v>
      </c>
      <c r="J190" s="960">
        <f t="shared" si="30"/>
        <v>0</v>
      </c>
      <c r="K190" s="293">
        <f t="shared" si="31"/>
        <v>0</v>
      </c>
      <c r="L190" s="860">
        <f>LOOKUP('Overflow (4)'!$C48,Cities!$A$3:$A$356,Cities!$D$3:$D$356)</f>
        <v>0</v>
      </c>
      <c r="M190" s="861">
        <f t="shared" si="32"/>
        <v>0</v>
      </c>
      <c r="O190" s="271">
        <f>LOOKUP('Overflow (4)'!$C48,Cities!$A$3:$A$356,Cities!$C$3:$C$356)</f>
        <v>0</v>
      </c>
      <c r="P190" s="857">
        <f>IF('Overflow (4)'!O48&lt;2015,'Print Return'!L$45,J190)</f>
        <v>0</v>
      </c>
      <c r="Q190" s="858">
        <f>'Overflow (4)'!$M48</f>
        <v>0</v>
      </c>
      <c r="R190" s="859">
        <f t="shared" si="33"/>
        <v>0</v>
      </c>
      <c r="S190" s="825">
        <f>'Overflow (4)'!G102</f>
        <v>0</v>
      </c>
      <c r="T190" s="826">
        <f t="shared" si="34"/>
        <v>0</v>
      </c>
      <c r="U190" s="860">
        <f>LOOKUP('Overflow (4)'!$C48,Cities!$A$3:$A$356,Cities!$D$3:$D$356)</f>
        <v>0</v>
      </c>
      <c r="V190" s="861">
        <f t="shared" si="35"/>
        <v>0</v>
      </c>
    </row>
    <row r="191" spans="1:22" x14ac:dyDescent="0.2">
      <c r="A191" s="271">
        <f>LOOKUP('Overflow (4)'!$C49,Cities!$A$3:$A$356,Cities!$C$3:$C$356)</f>
        <v>0</v>
      </c>
      <c r="B191" s="959">
        <f>'Print Return'!L$37</f>
        <v>0</v>
      </c>
      <c r="C191" s="858">
        <f>'Overflow (4)'!$M49</f>
        <v>0</v>
      </c>
      <c r="D191" s="859">
        <f t="shared" si="27"/>
        <v>0</v>
      </c>
      <c r="E191" s="825">
        <f>'Overflow (4)'!G103</f>
        <v>0</v>
      </c>
      <c r="F191" s="826">
        <f t="shared" si="28"/>
        <v>0</v>
      </c>
      <c r="G191" s="960">
        <f t="shared" si="29"/>
        <v>0</v>
      </c>
      <c r="H191" s="122">
        <f>'Print Return'!L$41</f>
        <v>0</v>
      </c>
      <c r="I191" s="293">
        <f>IF('Overflow (4)'!O49&lt;2015,MIN(G191,H191)/2,MIN(G191,H191))</f>
        <v>0</v>
      </c>
      <c r="J191" s="960">
        <f t="shared" si="30"/>
        <v>0</v>
      </c>
      <c r="K191" s="293">
        <f t="shared" si="31"/>
        <v>0</v>
      </c>
      <c r="L191" s="860">
        <f>LOOKUP('Overflow (4)'!$C49,Cities!$A$3:$A$356,Cities!$D$3:$D$356)</f>
        <v>0</v>
      </c>
      <c r="M191" s="861">
        <f t="shared" si="32"/>
        <v>0</v>
      </c>
      <c r="O191" s="271">
        <f>LOOKUP('Overflow (4)'!$C49,Cities!$A$3:$A$356,Cities!$C$3:$C$356)</f>
        <v>0</v>
      </c>
      <c r="P191" s="857">
        <f>IF('Overflow (4)'!O49&lt;2015,'Print Return'!L$45,J191)</f>
        <v>0</v>
      </c>
      <c r="Q191" s="858">
        <f>'Overflow (4)'!$M49</f>
        <v>0</v>
      </c>
      <c r="R191" s="859">
        <f t="shared" si="33"/>
        <v>0</v>
      </c>
      <c r="S191" s="825">
        <f>'Overflow (4)'!G103</f>
        <v>0</v>
      </c>
      <c r="T191" s="826">
        <f t="shared" si="34"/>
        <v>0</v>
      </c>
      <c r="U191" s="860">
        <f>LOOKUP('Overflow (4)'!$C49,Cities!$A$3:$A$356,Cities!$D$3:$D$356)</f>
        <v>0</v>
      </c>
      <c r="V191" s="861">
        <f t="shared" si="35"/>
        <v>0</v>
      </c>
    </row>
    <row r="192" spans="1:22" x14ac:dyDescent="0.2">
      <c r="A192" s="271">
        <f>LOOKUP('Overflow (4)'!$C50,Cities!$A$3:$A$356,Cities!$C$3:$C$356)</f>
        <v>0</v>
      </c>
      <c r="B192" s="959">
        <f>'Print Return'!L$37</f>
        <v>0</v>
      </c>
      <c r="C192" s="858">
        <f>'Overflow (4)'!$M50</f>
        <v>0</v>
      </c>
      <c r="D192" s="859">
        <f t="shared" si="27"/>
        <v>0</v>
      </c>
      <c r="E192" s="825">
        <f>'Overflow (4)'!G104</f>
        <v>0</v>
      </c>
      <c r="F192" s="826">
        <f t="shared" si="28"/>
        <v>0</v>
      </c>
      <c r="G192" s="960">
        <f t="shared" si="29"/>
        <v>0</v>
      </c>
      <c r="H192" s="122">
        <f>'Print Return'!L$41</f>
        <v>0</v>
      </c>
      <c r="I192" s="293">
        <f>IF('Overflow (4)'!O50&lt;2015,MIN(G192,H192)/2,MIN(G192,H192))</f>
        <v>0</v>
      </c>
      <c r="J192" s="960">
        <f t="shared" si="30"/>
        <v>0</v>
      </c>
      <c r="K192" s="293">
        <f t="shared" si="31"/>
        <v>0</v>
      </c>
      <c r="L192" s="860">
        <f>LOOKUP('Overflow (4)'!$C50,Cities!$A$3:$A$356,Cities!$D$3:$D$356)</f>
        <v>0</v>
      </c>
      <c r="M192" s="861">
        <f t="shared" si="32"/>
        <v>0</v>
      </c>
      <c r="O192" s="271">
        <f>LOOKUP('Overflow (4)'!$C50,Cities!$A$3:$A$356,Cities!$C$3:$C$356)</f>
        <v>0</v>
      </c>
      <c r="P192" s="857">
        <f>IF('Overflow (4)'!O50&lt;2015,'Print Return'!L$45,J192)</f>
        <v>0</v>
      </c>
      <c r="Q192" s="858">
        <f>'Overflow (4)'!$M50</f>
        <v>0</v>
      </c>
      <c r="R192" s="859">
        <f t="shared" si="33"/>
        <v>0</v>
      </c>
      <c r="S192" s="825">
        <f>'Overflow (4)'!G104</f>
        <v>0</v>
      </c>
      <c r="T192" s="826">
        <f t="shared" si="34"/>
        <v>0</v>
      </c>
      <c r="U192" s="860">
        <f>LOOKUP('Overflow (4)'!$C50,Cities!$A$3:$A$356,Cities!$D$3:$D$356)</f>
        <v>0</v>
      </c>
      <c r="V192" s="861">
        <f t="shared" si="35"/>
        <v>0</v>
      </c>
    </row>
    <row r="193" spans="1:25" x14ac:dyDescent="0.2">
      <c r="A193" s="271">
        <f>LOOKUP('Overflow (4)'!$C51,Cities!$A$3:$A$356,Cities!$C$3:$C$356)</f>
        <v>0</v>
      </c>
      <c r="B193" s="959">
        <f>'Print Return'!L$37</f>
        <v>0</v>
      </c>
      <c r="C193" s="858">
        <f>'Overflow (4)'!$M51</f>
        <v>0</v>
      </c>
      <c r="D193" s="859">
        <f t="shared" si="27"/>
        <v>0</v>
      </c>
      <c r="E193" s="825">
        <f>'Overflow (4)'!G105</f>
        <v>0</v>
      </c>
      <c r="F193" s="826">
        <f t="shared" si="28"/>
        <v>0</v>
      </c>
      <c r="G193" s="960">
        <f t="shared" si="29"/>
        <v>0</v>
      </c>
      <c r="H193" s="122">
        <f>'Print Return'!L$41</f>
        <v>0</v>
      </c>
      <c r="I193" s="293">
        <f>IF('Overflow (4)'!O51&lt;2015,MIN(G193,H193)/2,MIN(G193,H193))</f>
        <v>0</v>
      </c>
      <c r="J193" s="960">
        <f t="shared" si="30"/>
        <v>0</v>
      </c>
      <c r="K193" s="293">
        <f t="shared" si="31"/>
        <v>0</v>
      </c>
      <c r="L193" s="860">
        <f>LOOKUP('Overflow (4)'!$C51,Cities!$A$3:$A$356,Cities!$D$3:$D$356)</f>
        <v>0</v>
      </c>
      <c r="M193" s="861">
        <f t="shared" si="32"/>
        <v>0</v>
      </c>
      <c r="O193" s="271">
        <f>LOOKUP('Overflow (4)'!$C51,Cities!$A$3:$A$356,Cities!$C$3:$C$356)</f>
        <v>0</v>
      </c>
      <c r="P193" s="857">
        <f>IF('Overflow (4)'!O51&lt;2015,'Print Return'!L$45,J193)</f>
        <v>0</v>
      </c>
      <c r="Q193" s="858">
        <f>'Overflow (4)'!$M51</f>
        <v>0</v>
      </c>
      <c r="R193" s="859">
        <f t="shared" si="33"/>
        <v>0</v>
      </c>
      <c r="S193" s="825">
        <f>'Overflow (4)'!G105</f>
        <v>0</v>
      </c>
      <c r="T193" s="826">
        <f t="shared" si="34"/>
        <v>0</v>
      </c>
      <c r="U193" s="860">
        <f>LOOKUP('Overflow (4)'!$C51,Cities!$A$3:$A$356,Cities!$D$3:$D$356)</f>
        <v>0</v>
      </c>
      <c r="V193" s="861">
        <f t="shared" si="35"/>
        <v>0</v>
      </c>
    </row>
    <row r="194" spans="1:25" x14ac:dyDescent="0.2">
      <c r="A194" s="271">
        <f>LOOKUP('Overflow (4)'!$C52,Cities!$A$3:$A$356,Cities!$C$3:$C$356)</f>
        <v>0</v>
      </c>
      <c r="B194" s="959">
        <f>'Print Return'!L$37</f>
        <v>0</v>
      </c>
      <c r="C194" s="858">
        <f>'Overflow (4)'!$M52</f>
        <v>0</v>
      </c>
      <c r="D194" s="859">
        <f t="shared" si="27"/>
        <v>0</v>
      </c>
      <c r="E194" s="825">
        <f>'Overflow (4)'!G106</f>
        <v>0</v>
      </c>
      <c r="F194" s="826">
        <f t="shared" si="28"/>
        <v>0</v>
      </c>
      <c r="G194" s="960">
        <f t="shared" si="29"/>
        <v>0</v>
      </c>
      <c r="H194" s="122">
        <f>'Print Return'!L$41</f>
        <v>0</v>
      </c>
      <c r="I194" s="293">
        <f>IF('Overflow (4)'!O52&lt;2015,MIN(G194,H194)/2,MIN(G194,H194))</f>
        <v>0</v>
      </c>
      <c r="J194" s="960">
        <f t="shared" si="30"/>
        <v>0</v>
      </c>
      <c r="K194" s="293">
        <f t="shared" si="31"/>
        <v>0</v>
      </c>
      <c r="L194" s="860">
        <f>LOOKUP('Overflow (4)'!$C52,Cities!$A$3:$A$356,Cities!$D$3:$D$356)</f>
        <v>0</v>
      </c>
      <c r="M194" s="861">
        <f t="shared" si="32"/>
        <v>0</v>
      </c>
      <c r="O194" s="271">
        <f>LOOKUP('Overflow (4)'!$C52,Cities!$A$3:$A$356,Cities!$C$3:$C$356)</f>
        <v>0</v>
      </c>
      <c r="P194" s="857">
        <f>IF('Overflow (4)'!O52&lt;2015,'Print Return'!L$45,J194)</f>
        <v>0</v>
      </c>
      <c r="Q194" s="858">
        <f>'Overflow (4)'!$M52</f>
        <v>0</v>
      </c>
      <c r="R194" s="859">
        <f t="shared" si="33"/>
        <v>0</v>
      </c>
      <c r="S194" s="825">
        <f>'Overflow (4)'!G106</f>
        <v>0</v>
      </c>
      <c r="T194" s="826">
        <f t="shared" si="34"/>
        <v>0</v>
      </c>
      <c r="U194" s="860">
        <f>LOOKUP('Overflow (4)'!$C52,Cities!$A$3:$A$356,Cities!$D$3:$D$356)</f>
        <v>0</v>
      </c>
      <c r="V194" s="861">
        <f t="shared" si="35"/>
        <v>0</v>
      </c>
    </row>
    <row r="195" spans="1:25" x14ac:dyDescent="0.2">
      <c r="A195" s="271">
        <f>LOOKUP('Overflow (4)'!$C53,Cities!$A$3:$A$356,Cities!$C$3:$C$356)</f>
        <v>0</v>
      </c>
      <c r="B195" s="959">
        <f>'Print Return'!L$37</f>
        <v>0</v>
      </c>
      <c r="C195" s="858">
        <f>'Overflow (4)'!$M53</f>
        <v>0</v>
      </c>
      <c r="D195" s="859">
        <f t="shared" si="27"/>
        <v>0</v>
      </c>
      <c r="E195" s="825">
        <f>'Overflow (4)'!G107</f>
        <v>0</v>
      </c>
      <c r="F195" s="826">
        <f t="shared" si="28"/>
        <v>0</v>
      </c>
      <c r="G195" s="960">
        <f t="shared" si="29"/>
        <v>0</v>
      </c>
      <c r="H195" s="122">
        <f>'Print Return'!L$41</f>
        <v>0</v>
      </c>
      <c r="I195" s="293">
        <f>IF('Overflow (4)'!O53&lt;2015,MIN(G195,H195)/2,MIN(G195,H195))</f>
        <v>0</v>
      </c>
      <c r="J195" s="960">
        <f t="shared" si="30"/>
        <v>0</v>
      </c>
      <c r="K195" s="293">
        <f t="shared" si="31"/>
        <v>0</v>
      </c>
      <c r="L195" s="860">
        <f>LOOKUP('Overflow (4)'!$C53,Cities!$A$3:$A$356,Cities!$D$3:$D$356)</f>
        <v>0</v>
      </c>
      <c r="M195" s="861">
        <f t="shared" si="32"/>
        <v>0</v>
      </c>
      <c r="O195" s="271">
        <f>LOOKUP('Overflow (4)'!$C53,Cities!$A$3:$A$356,Cities!$C$3:$C$356)</f>
        <v>0</v>
      </c>
      <c r="P195" s="857">
        <f>IF('Overflow (4)'!O53&lt;2015,'Print Return'!L$45,J195)</f>
        <v>0</v>
      </c>
      <c r="Q195" s="858">
        <f>'Overflow (4)'!$M53</f>
        <v>0</v>
      </c>
      <c r="R195" s="859">
        <f t="shared" si="33"/>
        <v>0</v>
      </c>
      <c r="S195" s="825">
        <f>'Overflow (4)'!G107</f>
        <v>0</v>
      </c>
      <c r="T195" s="826">
        <f t="shared" si="34"/>
        <v>0</v>
      </c>
      <c r="U195" s="860">
        <f>LOOKUP('Overflow (4)'!$C53,Cities!$A$3:$A$356,Cities!$D$3:$D$356)</f>
        <v>0</v>
      </c>
      <c r="V195" s="861">
        <f t="shared" si="35"/>
        <v>0</v>
      </c>
    </row>
    <row r="196" spans="1:25" x14ac:dyDescent="0.2">
      <c r="A196" s="271">
        <f>LOOKUP('Overflow (4)'!$C54,Cities!$A$3:$A$356,Cities!$C$3:$C$356)</f>
        <v>0</v>
      </c>
      <c r="B196" s="959">
        <f>'Print Return'!L$37</f>
        <v>0</v>
      </c>
      <c r="C196" s="858">
        <f>'Overflow (4)'!$M54</f>
        <v>0</v>
      </c>
      <c r="D196" s="859">
        <f t="shared" si="27"/>
        <v>0</v>
      </c>
      <c r="E196" s="825">
        <f>'Overflow (4)'!G108</f>
        <v>0</v>
      </c>
      <c r="F196" s="826">
        <f t="shared" si="28"/>
        <v>0</v>
      </c>
      <c r="G196" s="960">
        <f t="shared" si="29"/>
        <v>0</v>
      </c>
      <c r="H196" s="122">
        <f>'Print Return'!L$41</f>
        <v>0</v>
      </c>
      <c r="I196" s="293">
        <f>IF('Overflow (4)'!O54&lt;2015,MIN(G196,H196)/2,MIN(G196,H196))</f>
        <v>0</v>
      </c>
      <c r="J196" s="960">
        <f t="shared" si="30"/>
        <v>0</v>
      </c>
      <c r="K196" s="293">
        <f t="shared" si="31"/>
        <v>0</v>
      </c>
      <c r="L196" s="860">
        <f>LOOKUP('Overflow (4)'!$C54,Cities!$A$3:$A$356,Cities!$D$3:$D$356)</f>
        <v>0</v>
      </c>
      <c r="M196" s="861">
        <f t="shared" si="32"/>
        <v>0</v>
      </c>
      <c r="O196" s="271">
        <f>LOOKUP('Overflow (4)'!$C54,Cities!$A$3:$A$356,Cities!$C$3:$C$356)</f>
        <v>0</v>
      </c>
      <c r="P196" s="857">
        <f>IF('Overflow (4)'!O54&lt;2015,'Print Return'!L$45,J196)</f>
        <v>0</v>
      </c>
      <c r="Q196" s="858">
        <f>'Overflow (4)'!$M54</f>
        <v>0</v>
      </c>
      <c r="R196" s="859">
        <f t="shared" si="33"/>
        <v>0</v>
      </c>
      <c r="S196" s="825">
        <f>'Overflow (4)'!G108</f>
        <v>0</v>
      </c>
      <c r="T196" s="826">
        <f t="shared" si="34"/>
        <v>0</v>
      </c>
      <c r="U196" s="860">
        <f>LOOKUP('Overflow (4)'!$C54,Cities!$A$3:$A$356,Cities!$D$3:$D$356)</f>
        <v>0</v>
      </c>
      <c r="V196" s="861">
        <f t="shared" si="35"/>
        <v>0</v>
      </c>
    </row>
    <row r="197" spans="1:25" x14ac:dyDescent="0.2">
      <c r="A197" s="271">
        <f>LOOKUP('Overflow (4)'!$C55,Cities!$A$3:$A$356,Cities!$C$3:$C$356)</f>
        <v>0</v>
      </c>
      <c r="B197" s="959">
        <f>'Print Return'!L$37</f>
        <v>0</v>
      </c>
      <c r="C197" s="858">
        <f>'Overflow (4)'!$M55</f>
        <v>0</v>
      </c>
      <c r="D197" s="859">
        <f t="shared" si="27"/>
        <v>0</v>
      </c>
      <c r="E197" s="825">
        <f>'Overflow (4)'!G109</f>
        <v>0</v>
      </c>
      <c r="F197" s="826">
        <f t="shared" si="28"/>
        <v>0</v>
      </c>
      <c r="G197" s="960">
        <f t="shared" si="29"/>
        <v>0</v>
      </c>
      <c r="H197" s="122">
        <f>'Print Return'!L$41</f>
        <v>0</v>
      </c>
      <c r="I197" s="293">
        <f>IF('Overflow (4)'!O55&lt;2015,MIN(G197,H197)/2,MIN(G197,H197))</f>
        <v>0</v>
      </c>
      <c r="J197" s="960">
        <f t="shared" si="30"/>
        <v>0</v>
      </c>
      <c r="K197" s="293">
        <f t="shared" si="31"/>
        <v>0</v>
      </c>
      <c r="L197" s="860">
        <f>LOOKUP('Overflow (4)'!$C55,Cities!$A$3:$A$356,Cities!$D$3:$D$356)</f>
        <v>0</v>
      </c>
      <c r="M197" s="861">
        <f t="shared" si="32"/>
        <v>0</v>
      </c>
      <c r="O197" s="271">
        <f>LOOKUP('Overflow (4)'!$C55,Cities!$A$3:$A$356,Cities!$C$3:$C$356)</f>
        <v>0</v>
      </c>
      <c r="P197" s="857">
        <f>IF('Overflow (4)'!O55&lt;2015,'Print Return'!L$45,J197)</f>
        <v>0</v>
      </c>
      <c r="Q197" s="858">
        <f>'Overflow (4)'!$M55</f>
        <v>0</v>
      </c>
      <c r="R197" s="859">
        <f t="shared" si="33"/>
        <v>0</v>
      </c>
      <c r="S197" s="825">
        <f>'Overflow (4)'!G109</f>
        <v>0</v>
      </c>
      <c r="T197" s="826">
        <f t="shared" si="34"/>
        <v>0</v>
      </c>
      <c r="U197" s="860">
        <f>LOOKUP('Overflow (4)'!$C55,Cities!$A$3:$A$356,Cities!$D$3:$D$356)</f>
        <v>0</v>
      </c>
      <c r="V197" s="861">
        <f t="shared" si="35"/>
        <v>0</v>
      </c>
    </row>
    <row r="198" spans="1:25" x14ac:dyDescent="0.2">
      <c r="A198" s="271">
        <f>LOOKUP('Overflow (4)'!$C56,Cities!$A$3:$A$356,Cities!$C$3:$C$356)</f>
        <v>0</v>
      </c>
      <c r="B198" s="959">
        <f>'Print Return'!L$37</f>
        <v>0</v>
      </c>
      <c r="C198" s="858">
        <f>'Overflow (4)'!$M56</f>
        <v>0</v>
      </c>
      <c r="D198" s="859">
        <f t="shared" si="27"/>
        <v>0</v>
      </c>
      <c r="E198" s="825">
        <f>'Overflow (4)'!G110</f>
        <v>0</v>
      </c>
      <c r="F198" s="826">
        <f t="shared" si="28"/>
        <v>0</v>
      </c>
      <c r="G198" s="960">
        <f t="shared" si="29"/>
        <v>0</v>
      </c>
      <c r="H198" s="122">
        <f>'Print Return'!L$41</f>
        <v>0</v>
      </c>
      <c r="I198" s="293">
        <f>IF('Overflow (4)'!O56&lt;2015,MIN(G198,H198)/2,MIN(G198,H198))</f>
        <v>0</v>
      </c>
      <c r="J198" s="960">
        <f t="shared" si="30"/>
        <v>0</v>
      </c>
      <c r="K198" s="293">
        <f t="shared" si="31"/>
        <v>0</v>
      </c>
      <c r="L198" s="860">
        <f>LOOKUP('Overflow (4)'!$C56,Cities!$A$3:$A$356,Cities!$D$3:$D$356)</f>
        <v>0</v>
      </c>
      <c r="M198" s="861">
        <f t="shared" si="32"/>
        <v>0</v>
      </c>
      <c r="O198" s="271">
        <f>LOOKUP('Overflow (4)'!$C56,Cities!$A$3:$A$356,Cities!$C$3:$C$356)</f>
        <v>0</v>
      </c>
      <c r="P198" s="857">
        <f>IF('Overflow (4)'!O56&lt;2015,'Print Return'!L$45,J198)</f>
        <v>0</v>
      </c>
      <c r="Q198" s="858">
        <f>'Overflow (4)'!$M56</f>
        <v>0</v>
      </c>
      <c r="R198" s="859">
        <f t="shared" si="33"/>
        <v>0</v>
      </c>
      <c r="S198" s="825">
        <f>'Overflow (4)'!G110</f>
        <v>0</v>
      </c>
      <c r="T198" s="826">
        <f t="shared" si="34"/>
        <v>0</v>
      </c>
      <c r="U198" s="860">
        <f>LOOKUP('Overflow (4)'!$C56,Cities!$A$3:$A$356,Cities!$D$3:$D$356)</f>
        <v>0</v>
      </c>
      <c r="V198" s="861">
        <f t="shared" si="35"/>
        <v>0</v>
      </c>
    </row>
    <row r="199" spans="1:25" x14ac:dyDescent="0.2">
      <c r="A199" s="306"/>
      <c r="B199" s="16"/>
      <c r="C199" s="16"/>
      <c r="D199" s="16"/>
      <c r="E199" s="16"/>
      <c r="F199" s="16"/>
      <c r="G199" s="16"/>
      <c r="H199" s="122"/>
      <c r="I199" s="16"/>
      <c r="J199" s="293"/>
      <c r="K199" s="16"/>
      <c r="L199" s="16"/>
      <c r="M199" s="264"/>
      <c r="O199" s="306"/>
      <c r="P199" s="16"/>
      <c r="Q199" s="16"/>
      <c r="R199" s="859"/>
      <c r="S199" s="16"/>
      <c r="T199" s="16"/>
      <c r="U199" s="16"/>
      <c r="V199" s="264"/>
    </row>
    <row r="200" spans="1:25" ht="13.5" thickBot="1" x14ac:dyDescent="0.25">
      <c r="A200" s="267" t="s">
        <v>1714</v>
      </c>
      <c r="B200" s="862"/>
      <c r="C200" s="920">
        <f>SUM(C154:C198)</f>
        <v>0</v>
      </c>
      <c r="D200" s="862"/>
      <c r="E200" s="863">
        <f>SUM(E154:E198)</f>
        <v>0</v>
      </c>
      <c r="F200" s="862"/>
      <c r="G200" s="862"/>
      <c r="H200" s="862"/>
      <c r="I200" s="862"/>
      <c r="J200" s="862"/>
      <c r="K200" s="865">
        <f>SUM(K154:K198)</f>
        <v>0</v>
      </c>
      <c r="L200" s="862"/>
      <c r="M200" s="864">
        <f>ROUND(SUMIF(M154:M198,"&gt;10"),0)</f>
        <v>0</v>
      </c>
      <c r="N200" s="1"/>
      <c r="O200" s="267"/>
      <c r="P200" s="862"/>
      <c r="Q200" s="892">
        <f>SUM(Q154:Q198)</f>
        <v>0</v>
      </c>
      <c r="R200" s="862"/>
      <c r="S200" s="863">
        <f>SUM(S154:S198)</f>
        <v>0</v>
      </c>
      <c r="T200" s="865">
        <f>SUM(T154:T198)</f>
        <v>0</v>
      </c>
      <c r="U200" s="862"/>
      <c r="V200" s="864">
        <f>ROUND(SUMIF(V154:V198,"&gt; 10"),0)</f>
        <v>0</v>
      </c>
    </row>
    <row r="201" spans="1:25" ht="18.75" thickBot="1" x14ac:dyDescent="0.3">
      <c r="A201" s="923" t="s">
        <v>1756</v>
      </c>
      <c r="B201" s="253"/>
      <c r="C201" s="253"/>
      <c r="D201" s="253"/>
      <c r="E201" s="253"/>
      <c r="F201" s="253"/>
      <c r="G201" s="253"/>
      <c r="H201" s="253"/>
      <c r="I201" s="253"/>
      <c r="J201" s="253"/>
      <c r="K201" s="253"/>
      <c r="L201" s="253"/>
      <c r="M201" s="253"/>
      <c r="N201" s="16"/>
      <c r="O201" s="923" t="s">
        <v>1757</v>
      </c>
      <c r="P201" s="253"/>
      <c r="Q201" s="253"/>
      <c r="R201" s="253"/>
      <c r="S201" s="253"/>
      <c r="T201" s="253"/>
      <c r="U201" s="253"/>
      <c r="V201" s="253"/>
      <c r="W201" s="16"/>
      <c r="X201" s="16"/>
      <c r="Y201" s="16"/>
    </row>
    <row r="202" spans="1:25" ht="17.25" customHeight="1" x14ac:dyDescent="0.2">
      <c r="A202" s="1572" t="s">
        <v>166</v>
      </c>
      <c r="B202" s="1568" t="s">
        <v>1720</v>
      </c>
      <c r="C202" s="1568" t="s">
        <v>1746</v>
      </c>
      <c r="D202" s="1568" t="s">
        <v>1722</v>
      </c>
      <c r="E202" s="1568" t="s">
        <v>1723</v>
      </c>
      <c r="F202" s="1568" t="s">
        <v>1724</v>
      </c>
      <c r="G202" s="1568" t="s">
        <v>1725</v>
      </c>
      <c r="H202" s="1568" t="s">
        <v>1726</v>
      </c>
      <c r="I202" s="1568" t="s">
        <v>1727</v>
      </c>
      <c r="J202" s="1568" t="s">
        <v>1728</v>
      </c>
      <c r="K202" s="1568" t="s">
        <v>1729</v>
      </c>
      <c r="L202" s="1568" t="s">
        <v>1730</v>
      </c>
      <c r="M202" s="1570" t="s">
        <v>1731</v>
      </c>
      <c r="N202" s="922"/>
      <c r="O202" s="1572" t="s">
        <v>166</v>
      </c>
      <c r="P202" s="1568" t="s">
        <v>1747</v>
      </c>
      <c r="Q202" s="1568" t="s">
        <v>1736</v>
      </c>
      <c r="R202" s="1568" t="s">
        <v>1741</v>
      </c>
      <c r="S202" s="1568" t="s">
        <v>1699</v>
      </c>
      <c r="T202" s="1568" t="s">
        <v>1700</v>
      </c>
      <c r="U202" s="1568" t="s">
        <v>1742</v>
      </c>
      <c r="V202" s="1570" t="s">
        <v>1743</v>
      </c>
    </row>
    <row r="203" spans="1:25" ht="54" customHeight="1" thickBot="1" x14ac:dyDescent="0.25">
      <c r="A203" s="1573"/>
      <c r="B203" s="1569"/>
      <c r="C203" s="1569"/>
      <c r="D203" s="1569"/>
      <c r="E203" s="1569"/>
      <c r="F203" s="1569"/>
      <c r="G203" s="1569"/>
      <c r="H203" s="1569"/>
      <c r="I203" s="1569"/>
      <c r="J203" s="1569"/>
      <c r="K203" s="1569"/>
      <c r="L203" s="1569"/>
      <c r="M203" s="1571"/>
      <c r="N203" s="922"/>
      <c r="O203" s="1573"/>
      <c r="P203" s="1569"/>
      <c r="Q203" s="1569"/>
      <c r="R203" s="1569"/>
      <c r="S203" s="1569"/>
      <c r="T203" s="1569"/>
      <c r="U203" s="1569"/>
      <c r="V203" s="1571"/>
    </row>
    <row r="204" spans="1:25" x14ac:dyDescent="0.2">
      <c r="A204" s="271">
        <f>LOOKUP('Overflow (5)'!$C12,Cities!$A$3:$A$356,Cities!$C$3:$C$356)</f>
        <v>0</v>
      </c>
      <c r="B204" s="959">
        <f>'Print Return'!L$37</f>
        <v>0</v>
      </c>
      <c r="C204" s="858">
        <f>'Overflow (5)'!$M12</f>
        <v>0</v>
      </c>
      <c r="D204" s="859">
        <f t="shared" ref="D204:D248" si="36">B204*IF(ISNUMBER(C204)=TRUE,C204,0)</f>
        <v>0</v>
      </c>
      <c r="E204" s="825">
        <f>'Overflow (5)'!G66</f>
        <v>0</v>
      </c>
      <c r="F204" s="826">
        <f>D204-E204</f>
        <v>0</v>
      </c>
      <c r="G204" s="960">
        <f>IF(C204&gt;0,F204 / C204,0)</f>
        <v>0</v>
      </c>
      <c r="H204" s="122">
        <f>'Print Return'!L$41</f>
        <v>0</v>
      </c>
      <c r="I204" s="293">
        <f>IF('Overflow (5)'!O12&lt;2015,MIN(G204,H204)/2,MIN(G204,H204))</f>
        <v>0</v>
      </c>
      <c r="J204" s="960">
        <f>IF(G204-I204&gt;0,G204-I204,0)</f>
        <v>0</v>
      </c>
      <c r="K204" s="293">
        <f>J204*IF(C204&gt;0,C204,0)</f>
        <v>0</v>
      </c>
      <c r="L204" s="860">
        <f>LOOKUP('Overflow (5)'!$C12,Cities!$A$3:$A$356,Cities!$D$3:$D$356)</f>
        <v>0</v>
      </c>
      <c r="M204" s="861">
        <f>K204*L204</f>
        <v>0</v>
      </c>
      <c r="N204" s="1"/>
      <c r="O204" s="271">
        <f>LOOKUP('Overflow (5)'!$C12,Cities!$A$3:$A$356,Cities!$C$3:$C$356)</f>
        <v>0</v>
      </c>
      <c r="P204" s="857">
        <f>IF('Overflow (5)'!O12&lt;2015,'Print Return'!L$45,J204)</f>
        <v>0</v>
      </c>
      <c r="Q204" s="858">
        <f>'Overflow (5)'!$M12</f>
        <v>0</v>
      </c>
      <c r="R204" s="859">
        <f>P204*IF(Q204&gt;0,Q204,0)</f>
        <v>0</v>
      </c>
      <c r="S204" s="825">
        <f>'Overflow (5)'!G66</f>
        <v>0</v>
      </c>
      <c r="T204" s="826">
        <f>IF(P204&gt;0,R204-S204,0)</f>
        <v>0</v>
      </c>
      <c r="U204" s="860">
        <f>LOOKUP('Overflow (5)'!$C12,Cities!$A$3:$A$356,Cities!$D$3:$D$356)</f>
        <v>0</v>
      </c>
      <c r="V204" s="861">
        <f>T204*U204</f>
        <v>0</v>
      </c>
    </row>
    <row r="205" spans="1:25" x14ac:dyDescent="0.2">
      <c r="A205" s="271">
        <f>LOOKUP('Overflow (5)'!$C13,Cities!$A$3:$A$356,Cities!$C$3:$C$356)</f>
        <v>0</v>
      </c>
      <c r="B205" s="959">
        <f>'Print Return'!L$37</f>
        <v>0</v>
      </c>
      <c r="C205" s="858">
        <f>'Overflow (5)'!$M13</f>
        <v>0</v>
      </c>
      <c r="D205" s="859">
        <f t="shared" si="36"/>
        <v>0</v>
      </c>
      <c r="E205" s="825">
        <f>'Overflow (5)'!G67</f>
        <v>0</v>
      </c>
      <c r="F205" s="826">
        <f t="shared" ref="F205:F248" si="37">D205-E205</f>
        <v>0</v>
      </c>
      <c r="G205" s="960">
        <f t="shared" ref="G205:G248" si="38">IF(C205&gt;0,F205 / C205,0)</f>
        <v>0</v>
      </c>
      <c r="H205" s="122">
        <f>'Print Return'!L$41</f>
        <v>0</v>
      </c>
      <c r="I205" s="293">
        <f>IF('Overflow (5)'!O13&lt;2015,MIN(G205,H205)/2,MIN(G205,H205))</f>
        <v>0</v>
      </c>
      <c r="J205" s="960">
        <f t="shared" ref="J205:J248" si="39">IF(G205-I205&gt;0,G205-I205,0)</f>
        <v>0</v>
      </c>
      <c r="K205" s="293">
        <f t="shared" ref="K205:K248" si="40">J205*IF(C205&gt;0,C205,0)</f>
        <v>0</v>
      </c>
      <c r="L205" s="860">
        <f>LOOKUP('Overflow (5)'!$C13,Cities!$A$3:$A$356,Cities!$D$3:$D$356)</f>
        <v>0</v>
      </c>
      <c r="M205" s="861">
        <f t="shared" ref="M205:M248" si="41">K205*L205</f>
        <v>0</v>
      </c>
      <c r="O205" s="271">
        <f>LOOKUP('Overflow (5)'!$C13,Cities!$A$3:$A$356,Cities!$C$3:$C$356)</f>
        <v>0</v>
      </c>
      <c r="P205" s="857">
        <f>IF('Overflow (5)'!O13&lt;2015,'Print Return'!L$45,J205)</f>
        <v>0</v>
      </c>
      <c r="Q205" s="858">
        <f>'Overflow (5)'!$M13</f>
        <v>0</v>
      </c>
      <c r="R205" s="859">
        <f t="shared" ref="R205:R248" si="42">P205*IF(Q205&gt;0,Q205,0)</f>
        <v>0</v>
      </c>
      <c r="S205" s="825">
        <f>'Overflow (5)'!G67</f>
        <v>0</v>
      </c>
      <c r="T205" s="826">
        <f t="shared" ref="T205:T248" si="43">IF(P205&gt;0,R205-S205,0)</f>
        <v>0</v>
      </c>
      <c r="U205" s="860">
        <f>LOOKUP('Overflow (5)'!$C13,Cities!$A$3:$A$356,Cities!$D$3:$D$356)</f>
        <v>0</v>
      </c>
      <c r="V205" s="861">
        <f t="shared" ref="V205:V248" si="44">T205*U205</f>
        <v>0</v>
      </c>
    </row>
    <row r="206" spans="1:25" x14ac:dyDescent="0.2">
      <c r="A206" s="271">
        <f>LOOKUP('Overflow (5)'!$C14,Cities!$A$3:$A$356,Cities!$C$3:$C$356)</f>
        <v>0</v>
      </c>
      <c r="B206" s="959">
        <f>'Print Return'!L$37</f>
        <v>0</v>
      </c>
      <c r="C206" s="858">
        <f>'Overflow (5)'!$M14</f>
        <v>0</v>
      </c>
      <c r="D206" s="859">
        <f t="shared" si="36"/>
        <v>0</v>
      </c>
      <c r="E206" s="825">
        <f>'Overflow (5)'!G68</f>
        <v>0</v>
      </c>
      <c r="F206" s="826">
        <f t="shared" si="37"/>
        <v>0</v>
      </c>
      <c r="G206" s="960">
        <f t="shared" si="38"/>
        <v>0</v>
      </c>
      <c r="H206" s="122">
        <f>'Print Return'!L$41</f>
        <v>0</v>
      </c>
      <c r="I206" s="293">
        <f>IF('Overflow (5)'!O14&lt;2015,MIN(G206,H206)/2,MIN(G206,H206))</f>
        <v>0</v>
      </c>
      <c r="J206" s="960">
        <f t="shared" si="39"/>
        <v>0</v>
      </c>
      <c r="K206" s="293">
        <f t="shared" si="40"/>
        <v>0</v>
      </c>
      <c r="L206" s="860">
        <f>LOOKUP('Overflow (5)'!$C14,Cities!$A$3:$A$356,Cities!$D$3:$D$356)</f>
        <v>0</v>
      </c>
      <c r="M206" s="861">
        <f t="shared" si="41"/>
        <v>0</v>
      </c>
      <c r="O206" s="271">
        <f>LOOKUP('Overflow (5)'!$C14,Cities!$A$3:$A$356,Cities!$C$3:$C$356)</f>
        <v>0</v>
      </c>
      <c r="P206" s="857">
        <f>IF('Overflow (5)'!O14&lt;2015,'Print Return'!L$45,J206)</f>
        <v>0</v>
      </c>
      <c r="Q206" s="858">
        <f>'Overflow (5)'!$M14</f>
        <v>0</v>
      </c>
      <c r="R206" s="859">
        <f t="shared" si="42"/>
        <v>0</v>
      </c>
      <c r="S206" s="825">
        <f>'Overflow (5)'!G68</f>
        <v>0</v>
      </c>
      <c r="T206" s="826">
        <f t="shared" si="43"/>
        <v>0</v>
      </c>
      <c r="U206" s="860">
        <f>LOOKUP('Overflow (5)'!$C14,Cities!$A$3:$A$356,Cities!$D$3:$D$356)</f>
        <v>0</v>
      </c>
      <c r="V206" s="861">
        <f t="shared" si="44"/>
        <v>0</v>
      </c>
    </row>
    <row r="207" spans="1:25" x14ac:dyDescent="0.2">
      <c r="A207" s="271">
        <f>LOOKUP('Overflow (5)'!$C15,Cities!$A$3:$A$356,Cities!$C$3:$C$356)</f>
        <v>0</v>
      </c>
      <c r="B207" s="959">
        <f>'Print Return'!L$37</f>
        <v>0</v>
      </c>
      <c r="C207" s="858">
        <f>'Overflow (5)'!$M15</f>
        <v>0</v>
      </c>
      <c r="D207" s="859">
        <f t="shared" si="36"/>
        <v>0</v>
      </c>
      <c r="E207" s="825">
        <f>'Overflow (5)'!G69</f>
        <v>0</v>
      </c>
      <c r="F207" s="826">
        <f t="shared" si="37"/>
        <v>0</v>
      </c>
      <c r="G207" s="960">
        <f t="shared" si="38"/>
        <v>0</v>
      </c>
      <c r="H207" s="122">
        <f>'Print Return'!L$41</f>
        <v>0</v>
      </c>
      <c r="I207" s="293">
        <f>IF('Overflow (5)'!O15&lt;2015,MIN(G207,H207)/2,MIN(G207,H207))</f>
        <v>0</v>
      </c>
      <c r="J207" s="960">
        <f t="shared" si="39"/>
        <v>0</v>
      </c>
      <c r="K207" s="293">
        <f t="shared" si="40"/>
        <v>0</v>
      </c>
      <c r="L207" s="860">
        <f>LOOKUP('Overflow (5)'!$C15,Cities!$A$3:$A$356,Cities!$D$3:$D$356)</f>
        <v>0</v>
      </c>
      <c r="M207" s="861">
        <f t="shared" si="41"/>
        <v>0</v>
      </c>
      <c r="O207" s="271">
        <f>LOOKUP('Overflow (5)'!$C15,Cities!$A$3:$A$356,Cities!$C$3:$C$356)</f>
        <v>0</v>
      </c>
      <c r="P207" s="857">
        <f>IF('Overflow (5)'!O15&lt;2015,'Print Return'!L$45,J207)</f>
        <v>0</v>
      </c>
      <c r="Q207" s="858">
        <f>'Overflow (5)'!$M15</f>
        <v>0</v>
      </c>
      <c r="R207" s="859">
        <f t="shared" si="42"/>
        <v>0</v>
      </c>
      <c r="S207" s="825">
        <f>'Overflow (5)'!G69</f>
        <v>0</v>
      </c>
      <c r="T207" s="826">
        <f t="shared" si="43"/>
        <v>0</v>
      </c>
      <c r="U207" s="860">
        <f>LOOKUP('Overflow (5)'!$C15,Cities!$A$3:$A$356,Cities!$D$3:$D$356)</f>
        <v>0</v>
      </c>
      <c r="V207" s="861">
        <f t="shared" si="44"/>
        <v>0</v>
      </c>
    </row>
    <row r="208" spans="1:25" x14ac:dyDescent="0.2">
      <c r="A208" s="271">
        <f>LOOKUP('Overflow (5)'!$C16,Cities!$A$3:$A$356,Cities!$C$3:$C$356)</f>
        <v>0</v>
      </c>
      <c r="B208" s="959">
        <f>'Print Return'!L$37</f>
        <v>0</v>
      </c>
      <c r="C208" s="858">
        <f>'Overflow (5)'!$M16</f>
        <v>0</v>
      </c>
      <c r="D208" s="859">
        <f t="shared" si="36"/>
        <v>0</v>
      </c>
      <c r="E208" s="825">
        <f>'Overflow (5)'!G70</f>
        <v>0</v>
      </c>
      <c r="F208" s="826">
        <f t="shared" si="37"/>
        <v>0</v>
      </c>
      <c r="G208" s="960">
        <f t="shared" si="38"/>
        <v>0</v>
      </c>
      <c r="H208" s="122">
        <f>'Print Return'!L$41</f>
        <v>0</v>
      </c>
      <c r="I208" s="293">
        <f>IF('Overflow (5)'!O16&lt;2015,MIN(G208,H208)/2,MIN(G208,H208))</f>
        <v>0</v>
      </c>
      <c r="J208" s="960">
        <f t="shared" si="39"/>
        <v>0</v>
      </c>
      <c r="K208" s="293">
        <f t="shared" si="40"/>
        <v>0</v>
      </c>
      <c r="L208" s="860">
        <f>LOOKUP('Overflow (5)'!$C16,Cities!$A$3:$A$356,Cities!$D$3:$D$356)</f>
        <v>0</v>
      </c>
      <c r="M208" s="861">
        <f t="shared" si="41"/>
        <v>0</v>
      </c>
      <c r="O208" s="271">
        <f>LOOKUP('Overflow (5)'!$C16,Cities!$A$3:$A$356,Cities!$C$3:$C$356)</f>
        <v>0</v>
      </c>
      <c r="P208" s="857">
        <f>IF('Overflow (5)'!O16&lt;2015,'Print Return'!L$45,J208)</f>
        <v>0</v>
      </c>
      <c r="Q208" s="858">
        <f>'Overflow (5)'!$M16</f>
        <v>0</v>
      </c>
      <c r="R208" s="859">
        <f t="shared" si="42"/>
        <v>0</v>
      </c>
      <c r="S208" s="825">
        <f>'Overflow (5)'!G70</f>
        <v>0</v>
      </c>
      <c r="T208" s="826">
        <f t="shared" si="43"/>
        <v>0</v>
      </c>
      <c r="U208" s="860">
        <f>LOOKUP('Overflow (5)'!$C16,Cities!$A$3:$A$356,Cities!$D$3:$D$356)</f>
        <v>0</v>
      </c>
      <c r="V208" s="861">
        <f t="shared" si="44"/>
        <v>0</v>
      </c>
    </row>
    <row r="209" spans="1:22" x14ac:dyDescent="0.2">
      <c r="A209" s="271">
        <f>LOOKUP('Overflow (5)'!$C17,Cities!$A$3:$A$356,Cities!$C$3:$C$356)</f>
        <v>0</v>
      </c>
      <c r="B209" s="959">
        <f>'Print Return'!L$37</f>
        <v>0</v>
      </c>
      <c r="C209" s="858">
        <f>'Overflow (5)'!$M17</f>
        <v>0</v>
      </c>
      <c r="D209" s="859">
        <f t="shared" si="36"/>
        <v>0</v>
      </c>
      <c r="E209" s="825">
        <f>'Overflow (5)'!G71</f>
        <v>0</v>
      </c>
      <c r="F209" s="826">
        <f t="shared" si="37"/>
        <v>0</v>
      </c>
      <c r="G209" s="960">
        <f t="shared" si="38"/>
        <v>0</v>
      </c>
      <c r="H209" s="122">
        <f>'Print Return'!L$41</f>
        <v>0</v>
      </c>
      <c r="I209" s="293">
        <f>IF('Overflow (5)'!O17&lt;2015,MIN(G209,H209)/2,MIN(G209,H209))</f>
        <v>0</v>
      </c>
      <c r="J209" s="960">
        <f t="shared" si="39"/>
        <v>0</v>
      </c>
      <c r="K209" s="293">
        <f t="shared" si="40"/>
        <v>0</v>
      </c>
      <c r="L209" s="860">
        <f>LOOKUP('Overflow (5)'!$C17,Cities!$A$3:$A$356,Cities!$D$3:$D$356)</f>
        <v>0</v>
      </c>
      <c r="M209" s="861">
        <f t="shared" si="41"/>
        <v>0</v>
      </c>
      <c r="O209" s="271">
        <f>LOOKUP('Overflow (5)'!$C17,Cities!$A$3:$A$356,Cities!$C$3:$C$356)</f>
        <v>0</v>
      </c>
      <c r="P209" s="857">
        <f>IF('Overflow (5)'!O17&lt;2015,'Print Return'!L$45,J209)</f>
        <v>0</v>
      </c>
      <c r="Q209" s="858">
        <f>'Overflow (5)'!$M17</f>
        <v>0</v>
      </c>
      <c r="R209" s="859">
        <f t="shared" si="42"/>
        <v>0</v>
      </c>
      <c r="S209" s="825">
        <f>'Overflow (5)'!G71</f>
        <v>0</v>
      </c>
      <c r="T209" s="826">
        <f t="shared" si="43"/>
        <v>0</v>
      </c>
      <c r="U209" s="860">
        <f>LOOKUP('Overflow (5)'!$C17,Cities!$A$3:$A$356,Cities!$D$3:$D$356)</f>
        <v>0</v>
      </c>
      <c r="V209" s="861">
        <f t="shared" si="44"/>
        <v>0</v>
      </c>
    </row>
    <row r="210" spans="1:22" x14ac:dyDescent="0.2">
      <c r="A210" s="271">
        <f>LOOKUP('Overflow (5)'!$C18,Cities!$A$3:$A$356,Cities!$C$3:$C$356)</f>
        <v>0</v>
      </c>
      <c r="B210" s="959">
        <f>'Print Return'!L$37</f>
        <v>0</v>
      </c>
      <c r="C210" s="858">
        <f>'Overflow (5)'!$M18</f>
        <v>0</v>
      </c>
      <c r="D210" s="859">
        <f t="shared" si="36"/>
        <v>0</v>
      </c>
      <c r="E210" s="825">
        <f>'Overflow (5)'!G72</f>
        <v>0</v>
      </c>
      <c r="F210" s="826">
        <f t="shared" si="37"/>
        <v>0</v>
      </c>
      <c r="G210" s="960">
        <f t="shared" si="38"/>
        <v>0</v>
      </c>
      <c r="H210" s="122">
        <f>'Print Return'!L$41</f>
        <v>0</v>
      </c>
      <c r="I210" s="293">
        <f>IF('Overflow (5)'!O18&lt;2015,MIN(G210,H210)/2,MIN(G210,H210))</f>
        <v>0</v>
      </c>
      <c r="J210" s="960">
        <f t="shared" si="39"/>
        <v>0</v>
      </c>
      <c r="K210" s="293">
        <f t="shared" si="40"/>
        <v>0</v>
      </c>
      <c r="L210" s="860">
        <f>LOOKUP('Overflow (5)'!$C18,Cities!$A$3:$A$356,Cities!$D$3:$D$356)</f>
        <v>0</v>
      </c>
      <c r="M210" s="861">
        <f t="shared" si="41"/>
        <v>0</v>
      </c>
      <c r="O210" s="271">
        <f>LOOKUP('Overflow (5)'!$C18,Cities!$A$3:$A$356,Cities!$C$3:$C$356)</f>
        <v>0</v>
      </c>
      <c r="P210" s="857">
        <f>IF('Overflow (5)'!O18&lt;2015,'Print Return'!L$45,J210)</f>
        <v>0</v>
      </c>
      <c r="Q210" s="858">
        <f>'Overflow (5)'!$M18</f>
        <v>0</v>
      </c>
      <c r="R210" s="859">
        <f t="shared" si="42"/>
        <v>0</v>
      </c>
      <c r="S210" s="825">
        <f>'Overflow (5)'!G72</f>
        <v>0</v>
      </c>
      <c r="T210" s="826">
        <f t="shared" si="43"/>
        <v>0</v>
      </c>
      <c r="U210" s="860">
        <f>LOOKUP('Overflow (5)'!$C18,Cities!$A$3:$A$356,Cities!$D$3:$D$356)</f>
        <v>0</v>
      </c>
      <c r="V210" s="861">
        <f t="shared" si="44"/>
        <v>0</v>
      </c>
    </row>
    <row r="211" spans="1:22" x14ac:dyDescent="0.2">
      <c r="A211" s="271">
        <f>LOOKUP('Overflow (5)'!$C19,Cities!$A$3:$A$356,Cities!$C$3:$C$356)</f>
        <v>0</v>
      </c>
      <c r="B211" s="959">
        <f>'Print Return'!L$37</f>
        <v>0</v>
      </c>
      <c r="C211" s="858">
        <f>'Overflow (5)'!$M19</f>
        <v>0</v>
      </c>
      <c r="D211" s="859">
        <f t="shared" si="36"/>
        <v>0</v>
      </c>
      <c r="E211" s="825">
        <f>'Overflow (5)'!G73</f>
        <v>0</v>
      </c>
      <c r="F211" s="826">
        <f t="shared" si="37"/>
        <v>0</v>
      </c>
      <c r="G211" s="960">
        <f t="shared" si="38"/>
        <v>0</v>
      </c>
      <c r="H211" s="122">
        <f>'Print Return'!L$41</f>
        <v>0</v>
      </c>
      <c r="I211" s="293">
        <f>IF('Overflow (5)'!O19&lt;2015,MIN(G211,H211)/2,MIN(G211,H211))</f>
        <v>0</v>
      </c>
      <c r="J211" s="960">
        <f t="shared" si="39"/>
        <v>0</v>
      </c>
      <c r="K211" s="293">
        <f t="shared" si="40"/>
        <v>0</v>
      </c>
      <c r="L211" s="860">
        <f>LOOKUP('Overflow (5)'!$C19,Cities!$A$3:$A$356,Cities!$D$3:$D$356)</f>
        <v>0</v>
      </c>
      <c r="M211" s="861">
        <f t="shared" si="41"/>
        <v>0</v>
      </c>
      <c r="O211" s="271">
        <f>LOOKUP('Overflow (5)'!$C19,Cities!$A$3:$A$356,Cities!$C$3:$C$356)</f>
        <v>0</v>
      </c>
      <c r="P211" s="857">
        <f>IF('Overflow (5)'!O19&lt;2015,'Print Return'!L$45,J211)</f>
        <v>0</v>
      </c>
      <c r="Q211" s="858">
        <f>'Overflow (5)'!$M19</f>
        <v>0</v>
      </c>
      <c r="R211" s="859">
        <f t="shared" si="42"/>
        <v>0</v>
      </c>
      <c r="S211" s="825">
        <f>'Overflow (5)'!G73</f>
        <v>0</v>
      </c>
      <c r="T211" s="826">
        <f t="shared" si="43"/>
        <v>0</v>
      </c>
      <c r="U211" s="860">
        <f>LOOKUP('Overflow (5)'!$C19,Cities!$A$3:$A$356,Cities!$D$3:$D$356)</f>
        <v>0</v>
      </c>
      <c r="V211" s="861">
        <f t="shared" si="44"/>
        <v>0</v>
      </c>
    </row>
    <row r="212" spans="1:22" x14ac:dyDescent="0.2">
      <c r="A212" s="271">
        <f>LOOKUP('Overflow (5)'!$C20,Cities!$A$3:$A$356,Cities!$C$3:$C$356)</f>
        <v>0</v>
      </c>
      <c r="B212" s="959">
        <f>'Print Return'!L$37</f>
        <v>0</v>
      </c>
      <c r="C212" s="858">
        <f>'Overflow (5)'!$M20</f>
        <v>0</v>
      </c>
      <c r="D212" s="859">
        <f t="shared" si="36"/>
        <v>0</v>
      </c>
      <c r="E212" s="825">
        <f>'Overflow (5)'!G74</f>
        <v>0</v>
      </c>
      <c r="F212" s="826">
        <f t="shared" si="37"/>
        <v>0</v>
      </c>
      <c r="G212" s="960">
        <f t="shared" si="38"/>
        <v>0</v>
      </c>
      <c r="H212" s="122">
        <f>'Print Return'!L$41</f>
        <v>0</v>
      </c>
      <c r="I212" s="293">
        <f>IF('Overflow (5)'!O20&lt;2015,MIN(G212,H212)/2,MIN(G212,H212))</f>
        <v>0</v>
      </c>
      <c r="J212" s="960">
        <f t="shared" si="39"/>
        <v>0</v>
      </c>
      <c r="K212" s="293">
        <f t="shared" si="40"/>
        <v>0</v>
      </c>
      <c r="L212" s="860">
        <f>LOOKUP('Overflow (5)'!$C20,Cities!$A$3:$A$356,Cities!$D$3:$D$356)</f>
        <v>0</v>
      </c>
      <c r="M212" s="861">
        <f t="shared" si="41"/>
        <v>0</v>
      </c>
      <c r="O212" s="271">
        <f>LOOKUP('Overflow (5)'!$C20,Cities!$A$3:$A$356,Cities!$C$3:$C$356)</f>
        <v>0</v>
      </c>
      <c r="P212" s="857">
        <f>IF('Overflow (5)'!O20&lt;2015,'Print Return'!L$45,J212)</f>
        <v>0</v>
      </c>
      <c r="Q212" s="858">
        <f>'Overflow (5)'!$M20</f>
        <v>0</v>
      </c>
      <c r="R212" s="859">
        <f t="shared" si="42"/>
        <v>0</v>
      </c>
      <c r="S212" s="825">
        <f>'Overflow (5)'!G74</f>
        <v>0</v>
      </c>
      <c r="T212" s="826">
        <f t="shared" si="43"/>
        <v>0</v>
      </c>
      <c r="U212" s="860">
        <f>LOOKUP('Overflow (5)'!$C20,Cities!$A$3:$A$356,Cities!$D$3:$D$356)</f>
        <v>0</v>
      </c>
      <c r="V212" s="861">
        <f t="shared" si="44"/>
        <v>0</v>
      </c>
    </row>
    <row r="213" spans="1:22" x14ac:dyDescent="0.2">
      <c r="A213" s="271">
        <f>LOOKUP('Overflow (5)'!$C21,Cities!$A$3:$A$356,Cities!$C$3:$C$356)</f>
        <v>0</v>
      </c>
      <c r="B213" s="959">
        <f>'Print Return'!L$37</f>
        <v>0</v>
      </c>
      <c r="C213" s="858">
        <f>'Overflow (5)'!$M21</f>
        <v>0</v>
      </c>
      <c r="D213" s="859">
        <f t="shared" si="36"/>
        <v>0</v>
      </c>
      <c r="E213" s="825">
        <f>'Overflow (5)'!G75</f>
        <v>0</v>
      </c>
      <c r="F213" s="826">
        <f t="shared" si="37"/>
        <v>0</v>
      </c>
      <c r="G213" s="960">
        <f t="shared" si="38"/>
        <v>0</v>
      </c>
      <c r="H213" s="122">
        <f>'Print Return'!L$41</f>
        <v>0</v>
      </c>
      <c r="I213" s="293">
        <f>IF('Overflow (5)'!O21&lt;2015,MIN(G213,H213)/2,MIN(G213,H213))</f>
        <v>0</v>
      </c>
      <c r="J213" s="960">
        <f t="shared" si="39"/>
        <v>0</v>
      </c>
      <c r="K213" s="293">
        <f t="shared" si="40"/>
        <v>0</v>
      </c>
      <c r="L213" s="860">
        <f>LOOKUP('Overflow (5)'!$C21,Cities!$A$3:$A$356,Cities!$D$3:$D$356)</f>
        <v>0</v>
      </c>
      <c r="M213" s="861">
        <f t="shared" si="41"/>
        <v>0</v>
      </c>
      <c r="O213" s="271">
        <f>LOOKUP('Overflow (5)'!$C21,Cities!$A$3:$A$356,Cities!$C$3:$C$356)</f>
        <v>0</v>
      </c>
      <c r="P213" s="857">
        <f>IF('Overflow (5)'!O21&lt;2015,'Print Return'!L$45,J213)</f>
        <v>0</v>
      </c>
      <c r="Q213" s="858">
        <f>'Overflow (5)'!$M21</f>
        <v>0</v>
      </c>
      <c r="R213" s="859">
        <f t="shared" si="42"/>
        <v>0</v>
      </c>
      <c r="S213" s="825">
        <f>'Overflow (5)'!G75</f>
        <v>0</v>
      </c>
      <c r="T213" s="826">
        <f t="shared" si="43"/>
        <v>0</v>
      </c>
      <c r="U213" s="860">
        <f>LOOKUP('Overflow (5)'!$C21,Cities!$A$3:$A$356,Cities!$D$3:$D$356)</f>
        <v>0</v>
      </c>
      <c r="V213" s="861">
        <f t="shared" si="44"/>
        <v>0</v>
      </c>
    </row>
    <row r="214" spans="1:22" x14ac:dyDescent="0.2">
      <c r="A214" s="271">
        <f>LOOKUP('Overflow (5)'!$C22,Cities!$A$3:$A$356,Cities!$C$3:$C$356)</f>
        <v>0</v>
      </c>
      <c r="B214" s="959">
        <f>'Print Return'!L$37</f>
        <v>0</v>
      </c>
      <c r="C214" s="858">
        <f>'Overflow (5)'!$M22</f>
        <v>0</v>
      </c>
      <c r="D214" s="859">
        <f t="shared" si="36"/>
        <v>0</v>
      </c>
      <c r="E214" s="825">
        <f>'Overflow (5)'!G76</f>
        <v>0</v>
      </c>
      <c r="F214" s="826">
        <f t="shared" si="37"/>
        <v>0</v>
      </c>
      <c r="G214" s="960">
        <f t="shared" si="38"/>
        <v>0</v>
      </c>
      <c r="H214" s="122">
        <f>'Print Return'!L$41</f>
        <v>0</v>
      </c>
      <c r="I214" s="293">
        <f>IF('Overflow (5)'!O22&lt;2015,MIN(G214,H214)/2,MIN(G214,H214))</f>
        <v>0</v>
      </c>
      <c r="J214" s="960">
        <f t="shared" si="39"/>
        <v>0</v>
      </c>
      <c r="K214" s="293">
        <f t="shared" si="40"/>
        <v>0</v>
      </c>
      <c r="L214" s="860">
        <f>LOOKUP('Overflow (5)'!$C22,Cities!$A$3:$A$356,Cities!$D$3:$D$356)</f>
        <v>0</v>
      </c>
      <c r="M214" s="861">
        <f t="shared" si="41"/>
        <v>0</v>
      </c>
      <c r="O214" s="271">
        <f>LOOKUP('Overflow (5)'!$C22,Cities!$A$3:$A$356,Cities!$C$3:$C$356)</f>
        <v>0</v>
      </c>
      <c r="P214" s="857">
        <f>IF('Overflow (5)'!O22&lt;2015,'Print Return'!L$45,J214)</f>
        <v>0</v>
      </c>
      <c r="Q214" s="858">
        <f>'Overflow (5)'!$M22</f>
        <v>0</v>
      </c>
      <c r="R214" s="859">
        <f t="shared" si="42"/>
        <v>0</v>
      </c>
      <c r="S214" s="825">
        <f>'Overflow (5)'!G76</f>
        <v>0</v>
      </c>
      <c r="T214" s="826">
        <f t="shared" si="43"/>
        <v>0</v>
      </c>
      <c r="U214" s="860">
        <f>LOOKUP('Overflow (5)'!$C22,Cities!$A$3:$A$356,Cities!$D$3:$D$356)</f>
        <v>0</v>
      </c>
      <c r="V214" s="861">
        <f t="shared" si="44"/>
        <v>0</v>
      </c>
    </row>
    <row r="215" spans="1:22" x14ac:dyDescent="0.2">
      <c r="A215" s="271">
        <f>LOOKUP('Overflow (5)'!$C23,Cities!$A$3:$A$356,Cities!$C$3:$C$356)</f>
        <v>0</v>
      </c>
      <c r="B215" s="959">
        <f>'Print Return'!L$37</f>
        <v>0</v>
      </c>
      <c r="C215" s="858">
        <f>'Overflow (5)'!$M23</f>
        <v>0</v>
      </c>
      <c r="D215" s="859">
        <f t="shared" si="36"/>
        <v>0</v>
      </c>
      <c r="E215" s="825">
        <f>'Overflow (5)'!G77</f>
        <v>0</v>
      </c>
      <c r="F215" s="826">
        <f t="shared" si="37"/>
        <v>0</v>
      </c>
      <c r="G215" s="960">
        <f t="shared" si="38"/>
        <v>0</v>
      </c>
      <c r="H215" s="122">
        <f>'Print Return'!L$41</f>
        <v>0</v>
      </c>
      <c r="I215" s="293">
        <f>IF('Overflow (5)'!O23&lt;2015,MIN(G215,H215)/2,MIN(G215,H215))</f>
        <v>0</v>
      </c>
      <c r="J215" s="960">
        <f t="shared" si="39"/>
        <v>0</v>
      </c>
      <c r="K215" s="293">
        <f t="shared" si="40"/>
        <v>0</v>
      </c>
      <c r="L215" s="860">
        <f>LOOKUP('Overflow (5)'!$C23,Cities!$A$3:$A$356,Cities!$D$3:$D$356)</f>
        <v>0</v>
      </c>
      <c r="M215" s="861">
        <f t="shared" si="41"/>
        <v>0</v>
      </c>
      <c r="O215" s="271">
        <f>LOOKUP('Overflow (5)'!$C23,Cities!$A$3:$A$356,Cities!$C$3:$C$356)</f>
        <v>0</v>
      </c>
      <c r="P215" s="857">
        <f>IF('Overflow (5)'!O23&lt;2015,'Print Return'!L$45,J215)</f>
        <v>0</v>
      </c>
      <c r="Q215" s="858">
        <f>'Overflow (5)'!$M23</f>
        <v>0</v>
      </c>
      <c r="R215" s="859">
        <f t="shared" si="42"/>
        <v>0</v>
      </c>
      <c r="S215" s="825">
        <f>'Overflow (5)'!G77</f>
        <v>0</v>
      </c>
      <c r="T215" s="826">
        <f t="shared" si="43"/>
        <v>0</v>
      </c>
      <c r="U215" s="860">
        <f>LOOKUP('Overflow (5)'!$C23,Cities!$A$3:$A$356,Cities!$D$3:$D$356)</f>
        <v>0</v>
      </c>
      <c r="V215" s="861">
        <f t="shared" si="44"/>
        <v>0</v>
      </c>
    </row>
    <row r="216" spans="1:22" x14ac:dyDescent="0.2">
      <c r="A216" s="271">
        <f>LOOKUP('Overflow (5)'!$C24,Cities!$A$3:$A$356,Cities!$C$3:$C$356)</f>
        <v>0</v>
      </c>
      <c r="B216" s="959">
        <f>'Print Return'!L$37</f>
        <v>0</v>
      </c>
      <c r="C216" s="858">
        <f>'Overflow (5)'!$M24</f>
        <v>0</v>
      </c>
      <c r="D216" s="859">
        <f t="shared" si="36"/>
        <v>0</v>
      </c>
      <c r="E216" s="825">
        <f>'Overflow (5)'!G78</f>
        <v>0</v>
      </c>
      <c r="F216" s="826">
        <f t="shared" si="37"/>
        <v>0</v>
      </c>
      <c r="G216" s="960">
        <f t="shared" si="38"/>
        <v>0</v>
      </c>
      <c r="H216" s="122">
        <f>'Print Return'!L$41</f>
        <v>0</v>
      </c>
      <c r="I216" s="293">
        <f>IF('Overflow (5)'!O24&lt;2015,MIN(G216,H216)/2,MIN(G216,H216))</f>
        <v>0</v>
      </c>
      <c r="J216" s="960">
        <f t="shared" si="39"/>
        <v>0</v>
      </c>
      <c r="K216" s="293">
        <f t="shared" si="40"/>
        <v>0</v>
      </c>
      <c r="L216" s="860">
        <f>LOOKUP('Overflow (5)'!$C24,Cities!$A$3:$A$356,Cities!$D$3:$D$356)</f>
        <v>0</v>
      </c>
      <c r="M216" s="861">
        <f t="shared" si="41"/>
        <v>0</v>
      </c>
      <c r="O216" s="271">
        <f>LOOKUP('Overflow (5)'!$C24,Cities!$A$3:$A$356,Cities!$C$3:$C$356)</f>
        <v>0</v>
      </c>
      <c r="P216" s="857">
        <f>IF('Overflow (5)'!O24&lt;2015,'Print Return'!L$45,J216)</f>
        <v>0</v>
      </c>
      <c r="Q216" s="858">
        <f>'Overflow (5)'!$M24</f>
        <v>0</v>
      </c>
      <c r="R216" s="859">
        <f t="shared" si="42"/>
        <v>0</v>
      </c>
      <c r="S216" s="825">
        <f>'Overflow (5)'!G78</f>
        <v>0</v>
      </c>
      <c r="T216" s="826">
        <f t="shared" si="43"/>
        <v>0</v>
      </c>
      <c r="U216" s="860">
        <f>LOOKUP('Overflow (5)'!$C24,Cities!$A$3:$A$356,Cities!$D$3:$D$356)</f>
        <v>0</v>
      </c>
      <c r="V216" s="861">
        <f t="shared" si="44"/>
        <v>0</v>
      </c>
    </row>
    <row r="217" spans="1:22" x14ac:dyDescent="0.2">
      <c r="A217" s="271">
        <f>LOOKUP('Overflow (5)'!$C25,Cities!$A$3:$A$356,Cities!$C$3:$C$356)</f>
        <v>0</v>
      </c>
      <c r="B217" s="959">
        <f>'Print Return'!L$37</f>
        <v>0</v>
      </c>
      <c r="C217" s="858">
        <f>'Overflow (5)'!$M25</f>
        <v>0</v>
      </c>
      <c r="D217" s="859">
        <f t="shared" si="36"/>
        <v>0</v>
      </c>
      <c r="E217" s="825">
        <f>'Overflow (5)'!G79</f>
        <v>0</v>
      </c>
      <c r="F217" s="826">
        <f t="shared" si="37"/>
        <v>0</v>
      </c>
      <c r="G217" s="960">
        <f t="shared" si="38"/>
        <v>0</v>
      </c>
      <c r="H217" s="122">
        <f>'Print Return'!L$41</f>
        <v>0</v>
      </c>
      <c r="I217" s="293">
        <f>IF('Overflow (5)'!O25&lt;2015,MIN(G217,H217)/2,MIN(G217,H217))</f>
        <v>0</v>
      </c>
      <c r="J217" s="960">
        <f t="shared" si="39"/>
        <v>0</v>
      </c>
      <c r="K217" s="293">
        <f t="shared" si="40"/>
        <v>0</v>
      </c>
      <c r="L217" s="860">
        <f>LOOKUP('Overflow (5)'!$C25,Cities!$A$3:$A$356,Cities!$D$3:$D$356)</f>
        <v>0</v>
      </c>
      <c r="M217" s="861">
        <f t="shared" si="41"/>
        <v>0</v>
      </c>
      <c r="O217" s="271">
        <f>LOOKUP('Overflow (5)'!$C25,Cities!$A$3:$A$356,Cities!$C$3:$C$356)</f>
        <v>0</v>
      </c>
      <c r="P217" s="857">
        <f>IF('Overflow (5)'!O25&lt;2015,'Print Return'!L$45,J217)</f>
        <v>0</v>
      </c>
      <c r="Q217" s="858">
        <f>'Overflow (5)'!$M25</f>
        <v>0</v>
      </c>
      <c r="R217" s="859">
        <f t="shared" si="42"/>
        <v>0</v>
      </c>
      <c r="S217" s="825">
        <f>'Overflow (5)'!G79</f>
        <v>0</v>
      </c>
      <c r="T217" s="826">
        <f t="shared" si="43"/>
        <v>0</v>
      </c>
      <c r="U217" s="860">
        <f>LOOKUP('Overflow (5)'!$C25,Cities!$A$3:$A$356,Cities!$D$3:$D$356)</f>
        <v>0</v>
      </c>
      <c r="V217" s="861">
        <f t="shared" si="44"/>
        <v>0</v>
      </c>
    </row>
    <row r="218" spans="1:22" x14ac:dyDescent="0.2">
      <c r="A218" s="271">
        <f>LOOKUP('Overflow (5)'!$C26,Cities!$A$3:$A$356,Cities!$C$3:$C$356)</f>
        <v>0</v>
      </c>
      <c r="B218" s="959">
        <f>'Print Return'!L$37</f>
        <v>0</v>
      </c>
      <c r="C218" s="858">
        <f>'Overflow (5)'!$M26</f>
        <v>0</v>
      </c>
      <c r="D218" s="859">
        <f t="shared" si="36"/>
        <v>0</v>
      </c>
      <c r="E218" s="825">
        <f>'Overflow (5)'!G80</f>
        <v>0</v>
      </c>
      <c r="F218" s="826">
        <f t="shared" si="37"/>
        <v>0</v>
      </c>
      <c r="G218" s="960">
        <f t="shared" si="38"/>
        <v>0</v>
      </c>
      <c r="H218" s="122">
        <f>'Print Return'!L$41</f>
        <v>0</v>
      </c>
      <c r="I218" s="293">
        <f>IF('Overflow (5)'!O26&lt;2015,MIN(G218,H218)/2,MIN(G218,H218))</f>
        <v>0</v>
      </c>
      <c r="J218" s="960">
        <f t="shared" si="39"/>
        <v>0</v>
      </c>
      <c r="K218" s="293">
        <f t="shared" si="40"/>
        <v>0</v>
      </c>
      <c r="L218" s="860">
        <f>LOOKUP('Overflow (5)'!$C26,Cities!$A$3:$A$356,Cities!$D$3:$D$356)</f>
        <v>0</v>
      </c>
      <c r="M218" s="861">
        <f t="shared" si="41"/>
        <v>0</v>
      </c>
      <c r="O218" s="271">
        <f>LOOKUP('Overflow (5)'!$C26,Cities!$A$3:$A$356,Cities!$C$3:$C$356)</f>
        <v>0</v>
      </c>
      <c r="P218" s="857">
        <f>IF('Overflow (5)'!O26&lt;2015,'Print Return'!L$45,J218)</f>
        <v>0</v>
      </c>
      <c r="Q218" s="858">
        <f>'Overflow (5)'!$M26</f>
        <v>0</v>
      </c>
      <c r="R218" s="859">
        <f t="shared" si="42"/>
        <v>0</v>
      </c>
      <c r="S218" s="825">
        <f>'Overflow (5)'!G80</f>
        <v>0</v>
      </c>
      <c r="T218" s="826">
        <f t="shared" si="43"/>
        <v>0</v>
      </c>
      <c r="U218" s="860">
        <f>LOOKUP('Overflow (5)'!$C26,Cities!$A$3:$A$356,Cities!$D$3:$D$356)</f>
        <v>0</v>
      </c>
      <c r="V218" s="861">
        <f t="shared" si="44"/>
        <v>0</v>
      </c>
    </row>
    <row r="219" spans="1:22" x14ac:dyDescent="0.2">
      <c r="A219" s="271">
        <f>LOOKUP('Overflow (5)'!$C27,Cities!$A$3:$A$356,Cities!$C$3:$C$356)</f>
        <v>0</v>
      </c>
      <c r="B219" s="959">
        <f>'Print Return'!L$37</f>
        <v>0</v>
      </c>
      <c r="C219" s="858">
        <f>'Overflow (5)'!$M27</f>
        <v>0</v>
      </c>
      <c r="D219" s="859">
        <f t="shared" si="36"/>
        <v>0</v>
      </c>
      <c r="E219" s="825">
        <f>'Overflow (5)'!G81</f>
        <v>0</v>
      </c>
      <c r="F219" s="826">
        <f t="shared" si="37"/>
        <v>0</v>
      </c>
      <c r="G219" s="960">
        <f t="shared" si="38"/>
        <v>0</v>
      </c>
      <c r="H219" s="122">
        <f>'Print Return'!L$41</f>
        <v>0</v>
      </c>
      <c r="I219" s="293">
        <f>IF('Overflow (5)'!O27&lt;2015,MIN(G219,H219)/2,MIN(G219,H219))</f>
        <v>0</v>
      </c>
      <c r="J219" s="960">
        <f t="shared" si="39"/>
        <v>0</v>
      </c>
      <c r="K219" s="293">
        <f t="shared" si="40"/>
        <v>0</v>
      </c>
      <c r="L219" s="860">
        <f>LOOKUP('Overflow (5)'!$C27,Cities!$A$3:$A$356,Cities!$D$3:$D$356)</f>
        <v>0</v>
      </c>
      <c r="M219" s="861">
        <f t="shared" si="41"/>
        <v>0</v>
      </c>
      <c r="O219" s="271">
        <f>LOOKUP('Overflow (5)'!$C27,Cities!$A$3:$A$356,Cities!$C$3:$C$356)</f>
        <v>0</v>
      </c>
      <c r="P219" s="857">
        <f>IF('Overflow (5)'!O27&lt;2015,'Print Return'!L$45,J219)</f>
        <v>0</v>
      </c>
      <c r="Q219" s="858">
        <f>'Overflow (5)'!$M27</f>
        <v>0</v>
      </c>
      <c r="R219" s="859">
        <f t="shared" si="42"/>
        <v>0</v>
      </c>
      <c r="S219" s="825">
        <f>'Overflow (5)'!G81</f>
        <v>0</v>
      </c>
      <c r="T219" s="826">
        <f t="shared" si="43"/>
        <v>0</v>
      </c>
      <c r="U219" s="860">
        <f>LOOKUP('Overflow (5)'!$C27,Cities!$A$3:$A$356,Cities!$D$3:$D$356)</f>
        <v>0</v>
      </c>
      <c r="V219" s="861">
        <f t="shared" si="44"/>
        <v>0</v>
      </c>
    </row>
    <row r="220" spans="1:22" x14ac:dyDescent="0.2">
      <c r="A220" s="271">
        <f>LOOKUP('Overflow (5)'!$C28,Cities!$A$3:$A$356,Cities!$C$3:$C$356)</f>
        <v>0</v>
      </c>
      <c r="B220" s="959">
        <f>'Print Return'!L$37</f>
        <v>0</v>
      </c>
      <c r="C220" s="858">
        <f>'Overflow (5)'!$M28</f>
        <v>0</v>
      </c>
      <c r="D220" s="859">
        <f t="shared" si="36"/>
        <v>0</v>
      </c>
      <c r="E220" s="825">
        <f>'Overflow (5)'!G82</f>
        <v>0</v>
      </c>
      <c r="F220" s="826">
        <f t="shared" si="37"/>
        <v>0</v>
      </c>
      <c r="G220" s="960">
        <f t="shared" si="38"/>
        <v>0</v>
      </c>
      <c r="H220" s="122">
        <f>'Print Return'!L$41</f>
        <v>0</v>
      </c>
      <c r="I220" s="293">
        <f>IF('Overflow (5)'!O28&lt;2015,MIN(G220,H220)/2,MIN(G220,H220))</f>
        <v>0</v>
      </c>
      <c r="J220" s="960">
        <f t="shared" si="39"/>
        <v>0</v>
      </c>
      <c r="K220" s="293">
        <f t="shared" si="40"/>
        <v>0</v>
      </c>
      <c r="L220" s="860">
        <f>LOOKUP('Overflow (5)'!$C28,Cities!$A$3:$A$356,Cities!$D$3:$D$356)</f>
        <v>0</v>
      </c>
      <c r="M220" s="861">
        <f t="shared" si="41"/>
        <v>0</v>
      </c>
      <c r="O220" s="271">
        <f>LOOKUP('Overflow (5)'!$C28,Cities!$A$3:$A$356,Cities!$C$3:$C$356)</f>
        <v>0</v>
      </c>
      <c r="P220" s="857">
        <f>IF('Overflow (5)'!O28&lt;2015,'Print Return'!L$45,J220)</f>
        <v>0</v>
      </c>
      <c r="Q220" s="858">
        <f>'Overflow (5)'!$M28</f>
        <v>0</v>
      </c>
      <c r="R220" s="859">
        <f t="shared" si="42"/>
        <v>0</v>
      </c>
      <c r="S220" s="825">
        <f>'Overflow (5)'!G82</f>
        <v>0</v>
      </c>
      <c r="T220" s="826">
        <f t="shared" si="43"/>
        <v>0</v>
      </c>
      <c r="U220" s="860">
        <f>LOOKUP('Overflow (5)'!$C28,Cities!$A$3:$A$356,Cities!$D$3:$D$356)</f>
        <v>0</v>
      </c>
      <c r="V220" s="861">
        <f t="shared" si="44"/>
        <v>0</v>
      </c>
    </row>
    <row r="221" spans="1:22" x14ac:dyDescent="0.2">
      <c r="A221" s="271">
        <f>LOOKUP('Overflow (5)'!$C29,Cities!$A$3:$A$356,Cities!$C$3:$C$356)</f>
        <v>0</v>
      </c>
      <c r="B221" s="959">
        <f>'Print Return'!L$37</f>
        <v>0</v>
      </c>
      <c r="C221" s="858">
        <f>'Overflow (5)'!$M29</f>
        <v>0</v>
      </c>
      <c r="D221" s="859">
        <f t="shared" si="36"/>
        <v>0</v>
      </c>
      <c r="E221" s="825">
        <f>'Overflow (5)'!G83</f>
        <v>0</v>
      </c>
      <c r="F221" s="826">
        <f t="shared" si="37"/>
        <v>0</v>
      </c>
      <c r="G221" s="960">
        <f t="shared" si="38"/>
        <v>0</v>
      </c>
      <c r="H221" s="122">
        <f>'Print Return'!L$41</f>
        <v>0</v>
      </c>
      <c r="I221" s="293">
        <f>IF('Overflow (5)'!O29&lt;2015,MIN(G221,H221)/2,MIN(G221,H221))</f>
        <v>0</v>
      </c>
      <c r="J221" s="960">
        <f t="shared" si="39"/>
        <v>0</v>
      </c>
      <c r="K221" s="293">
        <f t="shared" si="40"/>
        <v>0</v>
      </c>
      <c r="L221" s="860">
        <f>LOOKUP('Overflow (5)'!$C29,Cities!$A$3:$A$356,Cities!$D$3:$D$356)</f>
        <v>0</v>
      </c>
      <c r="M221" s="861">
        <f t="shared" si="41"/>
        <v>0</v>
      </c>
      <c r="O221" s="271">
        <f>LOOKUP('Overflow (5)'!$C29,Cities!$A$3:$A$356,Cities!$C$3:$C$356)</f>
        <v>0</v>
      </c>
      <c r="P221" s="857">
        <f>IF('Overflow (5)'!O29&lt;2015,'Print Return'!L$45,J221)</f>
        <v>0</v>
      </c>
      <c r="Q221" s="858">
        <f>'Overflow (5)'!$M29</f>
        <v>0</v>
      </c>
      <c r="R221" s="859">
        <f t="shared" si="42"/>
        <v>0</v>
      </c>
      <c r="S221" s="825">
        <f>'Overflow (5)'!G83</f>
        <v>0</v>
      </c>
      <c r="T221" s="826">
        <f t="shared" si="43"/>
        <v>0</v>
      </c>
      <c r="U221" s="860">
        <f>LOOKUP('Overflow (5)'!$C29,Cities!$A$3:$A$356,Cities!$D$3:$D$356)</f>
        <v>0</v>
      </c>
      <c r="V221" s="861">
        <f t="shared" si="44"/>
        <v>0</v>
      </c>
    </row>
    <row r="222" spans="1:22" x14ac:dyDescent="0.2">
      <c r="A222" s="271">
        <f>LOOKUP('Overflow (5)'!$C30,Cities!$A$3:$A$356,Cities!$C$3:$C$356)</f>
        <v>0</v>
      </c>
      <c r="B222" s="959">
        <f>'Print Return'!L$37</f>
        <v>0</v>
      </c>
      <c r="C222" s="858">
        <f>'Overflow (5)'!$M30</f>
        <v>0</v>
      </c>
      <c r="D222" s="859">
        <f t="shared" si="36"/>
        <v>0</v>
      </c>
      <c r="E222" s="825">
        <f>'Overflow (5)'!G84</f>
        <v>0</v>
      </c>
      <c r="F222" s="826">
        <f t="shared" si="37"/>
        <v>0</v>
      </c>
      <c r="G222" s="960">
        <f t="shared" si="38"/>
        <v>0</v>
      </c>
      <c r="H222" s="122">
        <f>'Print Return'!L$41</f>
        <v>0</v>
      </c>
      <c r="I222" s="293">
        <f>IF('Overflow (5)'!O30&lt;2015,MIN(G222,H222)/2,MIN(G222,H222))</f>
        <v>0</v>
      </c>
      <c r="J222" s="960">
        <f t="shared" si="39"/>
        <v>0</v>
      </c>
      <c r="K222" s="293">
        <f t="shared" si="40"/>
        <v>0</v>
      </c>
      <c r="L222" s="860">
        <f>LOOKUP('Overflow (5)'!$C30,Cities!$A$3:$A$356,Cities!$D$3:$D$356)</f>
        <v>0</v>
      </c>
      <c r="M222" s="861">
        <f t="shared" si="41"/>
        <v>0</v>
      </c>
      <c r="O222" s="271">
        <f>LOOKUP('Overflow (5)'!$C30,Cities!$A$3:$A$356,Cities!$C$3:$C$356)</f>
        <v>0</v>
      </c>
      <c r="P222" s="857">
        <f>IF('Overflow (5)'!O30&lt;2015,'Print Return'!L$45,J222)</f>
        <v>0</v>
      </c>
      <c r="Q222" s="858">
        <f>'Overflow (5)'!$M30</f>
        <v>0</v>
      </c>
      <c r="R222" s="859">
        <f t="shared" si="42"/>
        <v>0</v>
      </c>
      <c r="S222" s="825">
        <f>'Overflow (5)'!G84</f>
        <v>0</v>
      </c>
      <c r="T222" s="826">
        <f t="shared" si="43"/>
        <v>0</v>
      </c>
      <c r="U222" s="860">
        <f>LOOKUP('Overflow (5)'!$C30,Cities!$A$3:$A$356,Cities!$D$3:$D$356)</f>
        <v>0</v>
      </c>
      <c r="V222" s="861">
        <f t="shared" si="44"/>
        <v>0</v>
      </c>
    </row>
    <row r="223" spans="1:22" x14ac:dyDescent="0.2">
      <c r="A223" s="271">
        <f>LOOKUP('Overflow (5)'!$C31,Cities!$A$3:$A$356,Cities!$C$3:$C$356)</f>
        <v>0</v>
      </c>
      <c r="B223" s="959">
        <f>'Print Return'!L$37</f>
        <v>0</v>
      </c>
      <c r="C223" s="858">
        <f>'Overflow (5)'!$M31</f>
        <v>0</v>
      </c>
      <c r="D223" s="859">
        <f t="shared" si="36"/>
        <v>0</v>
      </c>
      <c r="E223" s="825">
        <f>'Overflow (5)'!G85</f>
        <v>0</v>
      </c>
      <c r="F223" s="826">
        <f t="shared" si="37"/>
        <v>0</v>
      </c>
      <c r="G223" s="960">
        <f t="shared" si="38"/>
        <v>0</v>
      </c>
      <c r="H223" s="122">
        <f>'Print Return'!L$41</f>
        <v>0</v>
      </c>
      <c r="I223" s="293">
        <f>IF('Overflow (5)'!O31&lt;2015,MIN(G223,H223)/2,MIN(G223,H223))</f>
        <v>0</v>
      </c>
      <c r="J223" s="960">
        <f t="shared" si="39"/>
        <v>0</v>
      </c>
      <c r="K223" s="293">
        <f t="shared" si="40"/>
        <v>0</v>
      </c>
      <c r="L223" s="860">
        <f>LOOKUP('Overflow (5)'!$C31,Cities!$A$3:$A$356,Cities!$D$3:$D$356)</f>
        <v>0</v>
      </c>
      <c r="M223" s="861">
        <f t="shared" si="41"/>
        <v>0</v>
      </c>
      <c r="O223" s="271">
        <f>LOOKUP('Overflow (5)'!$C31,Cities!$A$3:$A$356,Cities!$C$3:$C$356)</f>
        <v>0</v>
      </c>
      <c r="P223" s="857">
        <f>IF('Overflow (5)'!O31&lt;2015,'Print Return'!L$45,J223)</f>
        <v>0</v>
      </c>
      <c r="Q223" s="858">
        <f>'Overflow (5)'!$M31</f>
        <v>0</v>
      </c>
      <c r="R223" s="859">
        <f t="shared" si="42"/>
        <v>0</v>
      </c>
      <c r="S223" s="825">
        <f>'Overflow (5)'!G85</f>
        <v>0</v>
      </c>
      <c r="T223" s="826">
        <f t="shared" si="43"/>
        <v>0</v>
      </c>
      <c r="U223" s="860">
        <f>LOOKUP('Overflow (5)'!$C31,Cities!$A$3:$A$356,Cities!$D$3:$D$356)</f>
        <v>0</v>
      </c>
      <c r="V223" s="861">
        <f t="shared" si="44"/>
        <v>0</v>
      </c>
    </row>
    <row r="224" spans="1:22" x14ac:dyDescent="0.2">
      <c r="A224" s="271">
        <f>LOOKUP('Overflow (5)'!$C32,Cities!$A$3:$A$356,Cities!$C$3:$C$356)</f>
        <v>0</v>
      </c>
      <c r="B224" s="959">
        <f>'Print Return'!L$37</f>
        <v>0</v>
      </c>
      <c r="C224" s="858">
        <f>'Overflow (5)'!$M32</f>
        <v>0</v>
      </c>
      <c r="D224" s="859">
        <f t="shared" si="36"/>
        <v>0</v>
      </c>
      <c r="E224" s="825">
        <f>'Overflow (5)'!G86</f>
        <v>0</v>
      </c>
      <c r="F224" s="826">
        <f t="shared" si="37"/>
        <v>0</v>
      </c>
      <c r="G224" s="960">
        <f t="shared" si="38"/>
        <v>0</v>
      </c>
      <c r="H224" s="122">
        <f>'Print Return'!L$41</f>
        <v>0</v>
      </c>
      <c r="I224" s="293">
        <f>IF('Overflow (5)'!O32&lt;2015,MIN(G224,H224)/2,MIN(G224,H224))</f>
        <v>0</v>
      </c>
      <c r="J224" s="960">
        <f t="shared" si="39"/>
        <v>0</v>
      </c>
      <c r="K224" s="293">
        <f t="shared" si="40"/>
        <v>0</v>
      </c>
      <c r="L224" s="860">
        <f>LOOKUP('Overflow (5)'!$C32,Cities!$A$3:$A$356,Cities!$D$3:$D$356)</f>
        <v>0</v>
      </c>
      <c r="M224" s="861">
        <f t="shared" si="41"/>
        <v>0</v>
      </c>
      <c r="O224" s="271">
        <f>LOOKUP('Overflow (5)'!$C32,Cities!$A$3:$A$356,Cities!$C$3:$C$356)</f>
        <v>0</v>
      </c>
      <c r="P224" s="857">
        <f>IF('Overflow (5)'!O32&lt;2015,'Print Return'!L$45,J224)</f>
        <v>0</v>
      </c>
      <c r="Q224" s="858">
        <f>'Overflow (5)'!$M32</f>
        <v>0</v>
      </c>
      <c r="R224" s="859">
        <f t="shared" si="42"/>
        <v>0</v>
      </c>
      <c r="S224" s="825">
        <f>'Overflow (5)'!G86</f>
        <v>0</v>
      </c>
      <c r="T224" s="826">
        <f t="shared" si="43"/>
        <v>0</v>
      </c>
      <c r="U224" s="860">
        <f>LOOKUP('Overflow (5)'!$C32,Cities!$A$3:$A$356,Cities!$D$3:$D$356)</f>
        <v>0</v>
      </c>
      <c r="V224" s="861">
        <f t="shared" si="44"/>
        <v>0</v>
      </c>
    </row>
    <row r="225" spans="1:22" x14ac:dyDescent="0.2">
      <c r="A225" s="271">
        <f>LOOKUP('Overflow (5)'!$C33,Cities!$A$3:$A$356,Cities!$C$3:$C$356)</f>
        <v>0</v>
      </c>
      <c r="B225" s="959">
        <f>'Print Return'!L$37</f>
        <v>0</v>
      </c>
      <c r="C225" s="858">
        <f>'Overflow (5)'!$M33</f>
        <v>0</v>
      </c>
      <c r="D225" s="859">
        <f t="shared" si="36"/>
        <v>0</v>
      </c>
      <c r="E225" s="825">
        <f>'Overflow (5)'!G87</f>
        <v>0</v>
      </c>
      <c r="F225" s="826">
        <f t="shared" si="37"/>
        <v>0</v>
      </c>
      <c r="G225" s="960">
        <f t="shared" si="38"/>
        <v>0</v>
      </c>
      <c r="H225" s="122">
        <f>'Print Return'!L$41</f>
        <v>0</v>
      </c>
      <c r="I225" s="293">
        <f>IF('Overflow (5)'!O33&lt;2015,MIN(G225,H225)/2,MIN(G225,H225))</f>
        <v>0</v>
      </c>
      <c r="J225" s="960">
        <f t="shared" si="39"/>
        <v>0</v>
      </c>
      <c r="K225" s="293">
        <f t="shared" si="40"/>
        <v>0</v>
      </c>
      <c r="L225" s="860">
        <f>LOOKUP('Overflow (5)'!$C33,Cities!$A$3:$A$356,Cities!$D$3:$D$356)</f>
        <v>0</v>
      </c>
      <c r="M225" s="861">
        <f t="shared" si="41"/>
        <v>0</v>
      </c>
      <c r="O225" s="271">
        <f>LOOKUP('Overflow (5)'!$C33,Cities!$A$3:$A$356,Cities!$C$3:$C$356)</f>
        <v>0</v>
      </c>
      <c r="P225" s="857">
        <f>IF('Overflow (5)'!O33&lt;2015,'Print Return'!L$45,J225)</f>
        <v>0</v>
      </c>
      <c r="Q225" s="858">
        <f>'Overflow (5)'!$M33</f>
        <v>0</v>
      </c>
      <c r="R225" s="859">
        <f t="shared" si="42"/>
        <v>0</v>
      </c>
      <c r="S225" s="825">
        <f>'Overflow (5)'!G87</f>
        <v>0</v>
      </c>
      <c r="T225" s="826">
        <f t="shared" si="43"/>
        <v>0</v>
      </c>
      <c r="U225" s="860">
        <f>LOOKUP('Overflow (5)'!$C33,Cities!$A$3:$A$356,Cities!$D$3:$D$356)</f>
        <v>0</v>
      </c>
      <c r="V225" s="861">
        <f t="shared" si="44"/>
        <v>0</v>
      </c>
    </row>
    <row r="226" spans="1:22" x14ac:dyDescent="0.2">
      <c r="A226" s="271">
        <f>LOOKUP('Overflow (5)'!$C34,Cities!$A$3:$A$356,Cities!$C$3:$C$356)</f>
        <v>0</v>
      </c>
      <c r="B226" s="959">
        <f>'Print Return'!L$37</f>
        <v>0</v>
      </c>
      <c r="C226" s="858">
        <f>'Overflow (5)'!$M34</f>
        <v>0</v>
      </c>
      <c r="D226" s="859">
        <f t="shared" si="36"/>
        <v>0</v>
      </c>
      <c r="E226" s="825">
        <f>'Overflow (5)'!G88</f>
        <v>0</v>
      </c>
      <c r="F226" s="826">
        <f t="shared" si="37"/>
        <v>0</v>
      </c>
      <c r="G226" s="960">
        <f t="shared" si="38"/>
        <v>0</v>
      </c>
      <c r="H226" s="122">
        <f>'Print Return'!L$41</f>
        <v>0</v>
      </c>
      <c r="I226" s="293">
        <f>IF('Overflow (5)'!O34&lt;2015,MIN(G226,H226)/2,MIN(G226,H226))</f>
        <v>0</v>
      </c>
      <c r="J226" s="960">
        <f t="shared" si="39"/>
        <v>0</v>
      </c>
      <c r="K226" s="293">
        <f t="shared" si="40"/>
        <v>0</v>
      </c>
      <c r="L226" s="860">
        <f>LOOKUP('Overflow (5)'!$C34,Cities!$A$3:$A$356,Cities!$D$3:$D$356)</f>
        <v>0</v>
      </c>
      <c r="M226" s="861">
        <f t="shared" si="41"/>
        <v>0</v>
      </c>
      <c r="O226" s="271">
        <f>LOOKUP('Overflow (5)'!$C34,Cities!$A$3:$A$356,Cities!$C$3:$C$356)</f>
        <v>0</v>
      </c>
      <c r="P226" s="857">
        <f>IF('Overflow (5)'!O34&lt;2015,'Print Return'!L$45,J226)</f>
        <v>0</v>
      </c>
      <c r="Q226" s="858">
        <f>'Overflow (5)'!$M34</f>
        <v>0</v>
      </c>
      <c r="R226" s="859">
        <f t="shared" si="42"/>
        <v>0</v>
      </c>
      <c r="S226" s="825">
        <f>'Overflow (5)'!G88</f>
        <v>0</v>
      </c>
      <c r="T226" s="826">
        <f t="shared" si="43"/>
        <v>0</v>
      </c>
      <c r="U226" s="860">
        <f>LOOKUP('Overflow (5)'!$C34,Cities!$A$3:$A$356,Cities!$D$3:$D$356)</f>
        <v>0</v>
      </c>
      <c r="V226" s="861">
        <f t="shared" si="44"/>
        <v>0</v>
      </c>
    </row>
    <row r="227" spans="1:22" x14ac:dyDescent="0.2">
      <c r="A227" s="271">
        <f>LOOKUP('Overflow (5)'!$C35,Cities!$A$3:$A$356,Cities!$C$3:$C$356)</f>
        <v>0</v>
      </c>
      <c r="B227" s="959">
        <f>'Print Return'!L$37</f>
        <v>0</v>
      </c>
      <c r="C227" s="858">
        <f>'Overflow (5)'!$M35</f>
        <v>0</v>
      </c>
      <c r="D227" s="859">
        <f t="shared" si="36"/>
        <v>0</v>
      </c>
      <c r="E227" s="825">
        <f>'Overflow (5)'!G89</f>
        <v>0</v>
      </c>
      <c r="F227" s="826">
        <f t="shared" si="37"/>
        <v>0</v>
      </c>
      <c r="G227" s="960">
        <f t="shared" si="38"/>
        <v>0</v>
      </c>
      <c r="H227" s="122">
        <f>'Print Return'!L$41</f>
        <v>0</v>
      </c>
      <c r="I227" s="293">
        <f>IF('Overflow (5)'!O35&lt;2015,MIN(G227,H227)/2,MIN(G227,H227))</f>
        <v>0</v>
      </c>
      <c r="J227" s="960">
        <f t="shared" si="39"/>
        <v>0</v>
      </c>
      <c r="K227" s="293">
        <f t="shared" si="40"/>
        <v>0</v>
      </c>
      <c r="L227" s="860">
        <f>LOOKUP('Overflow (5)'!$C35,Cities!$A$3:$A$356,Cities!$D$3:$D$356)</f>
        <v>0</v>
      </c>
      <c r="M227" s="861">
        <f t="shared" si="41"/>
        <v>0</v>
      </c>
      <c r="O227" s="271">
        <f>LOOKUP('Overflow (5)'!$C35,Cities!$A$3:$A$356,Cities!$C$3:$C$356)</f>
        <v>0</v>
      </c>
      <c r="P227" s="857">
        <f>IF('Overflow (5)'!O35&lt;2015,'Print Return'!L$45,J227)</f>
        <v>0</v>
      </c>
      <c r="Q227" s="858">
        <f>'Overflow (5)'!$M35</f>
        <v>0</v>
      </c>
      <c r="R227" s="859">
        <f t="shared" si="42"/>
        <v>0</v>
      </c>
      <c r="S227" s="825">
        <f>'Overflow (5)'!G89</f>
        <v>0</v>
      </c>
      <c r="T227" s="826">
        <f t="shared" si="43"/>
        <v>0</v>
      </c>
      <c r="U227" s="860">
        <f>LOOKUP('Overflow (5)'!$C35,Cities!$A$3:$A$356,Cities!$D$3:$D$356)</f>
        <v>0</v>
      </c>
      <c r="V227" s="861">
        <f t="shared" si="44"/>
        <v>0</v>
      </c>
    </row>
    <row r="228" spans="1:22" x14ac:dyDescent="0.2">
      <c r="A228" s="271">
        <f>LOOKUP('Overflow (5)'!$C36,Cities!$A$3:$A$356,Cities!$C$3:$C$356)</f>
        <v>0</v>
      </c>
      <c r="B228" s="959">
        <f>'Print Return'!L$37</f>
        <v>0</v>
      </c>
      <c r="C228" s="858">
        <f>'Overflow (5)'!$M36</f>
        <v>0</v>
      </c>
      <c r="D228" s="859">
        <f t="shared" si="36"/>
        <v>0</v>
      </c>
      <c r="E228" s="825">
        <f>'Overflow (5)'!G90</f>
        <v>0</v>
      </c>
      <c r="F228" s="826">
        <f t="shared" si="37"/>
        <v>0</v>
      </c>
      <c r="G228" s="960">
        <f t="shared" si="38"/>
        <v>0</v>
      </c>
      <c r="H228" s="122">
        <f>'Print Return'!L$41</f>
        <v>0</v>
      </c>
      <c r="I228" s="293">
        <f>IF('Overflow (5)'!O36&lt;2015,MIN(G228,H228)/2,MIN(G228,H228))</f>
        <v>0</v>
      </c>
      <c r="J228" s="960">
        <f t="shared" si="39"/>
        <v>0</v>
      </c>
      <c r="K228" s="293">
        <f t="shared" si="40"/>
        <v>0</v>
      </c>
      <c r="L228" s="860">
        <f>LOOKUP('Overflow (5)'!$C36,Cities!$A$3:$A$356,Cities!$D$3:$D$356)</f>
        <v>0</v>
      </c>
      <c r="M228" s="861">
        <f t="shared" si="41"/>
        <v>0</v>
      </c>
      <c r="O228" s="271">
        <f>LOOKUP('Overflow (5)'!$C36,Cities!$A$3:$A$356,Cities!$C$3:$C$356)</f>
        <v>0</v>
      </c>
      <c r="P228" s="857">
        <f>IF('Overflow (5)'!O36&lt;2015,'Print Return'!L$45,J228)</f>
        <v>0</v>
      </c>
      <c r="Q228" s="858">
        <f>'Overflow (5)'!$M36</f>
        <v>0</v>
      </c>
      <c r="R228" s="859">
        <f t="shared" si="42"/>
        <v>0</v>
      </c>
      <c r="S228" s="825">
        <f>'Overflow (5)'!G90</f>
        <v>0</v>
      </c>
      <c r="T228" s="826">
        <f t="shared" si="43"/>
        <v>0</v>
      </c>
      <c r="U228" s="860">
        <f>LOOKUP('Overflow (5)'!$C36,Cities!$A$3:$A$356,Cities!$D$3:$D$356)</f>
        <v>0</v>
      </c>
      <c r="V228" s="861">
        <f t="shared" si="44"/>
        <v>0</v>
      </c>
    </row>
    <row r="229" spans="1:22" x14ac:dyDescent="0.2">
      <c r="A229" s="271">
        <f>LOOKUP('Overflow (5)'!$C37,Cities!$A$3:$A$356,Cities!$C$3:$C$356)</f>
        <v>0</v>
      </c>
      <c r="B229" s="959">
        <f>'Print Return'!L$37</f>
        <v>0</v>
      </c>
      <c r="C229" s="858">
        <f>'Overflow (5)'!$M37</f>
        <v>0</v>
      </c>
      <c r="D229" s="859">
        <f t="shared" si="36"/>
        <v>0</v>
      </c>
      <c r="E229" s="825">
        <f>'Overflow (5)'!G91</f>
        <v>0</v>
      </c>
      <c r="F229" s="826">
        <f t="shared" si="37"/>
        <v>0</v>
      </c>
      <c r="G229" s="960">
        <f t="shared" si="38"/>
        <v>0</v>
      </c>
      <c r="H229" s="122">
        <f>'Print Return'!L$41</f>
        <v>0</v>
      </c>
      <c r="I229" s="293">
        <f>IF('Overflow (5)'!O37&lt;2015,MIN(G229,H229)/2,MIN(G229,H229))</f>
        <v>0</v>
      </c>
      <c r="J229" s="960">
        <f t="shared" si="39"/>
        <v>0</v>
      </c>
      <c r="K229" s="293">
        <f t="shared" si="40"/>
        <v>0</v>
      </c>
      <c r="L229" s="860">
        <f>LOOKUP('Overflow (5)'!$C37,Cities!$A$3:$A$356,Cities!$D$3:$D$356)</f>
        <v>0</v>
      </c>
      <c r="M229" s="861">
        <f t="shared" si="41"/>
        <v>0</v>
      </c>
      <c r="O229" s="271">
        <f>LOOKUP('Overflow (5)'!$C37,Cities!$A$3:$A$356,Cities!$C$3:$C$356)</f>
        <v>0</v>
      </c>
      <c r="P229" s="857">
        <f>IF('Overflow (5)'!O37&lt;2015,'Print Return'!L$45,J229)</f>
        <v>0</v>
      </c>
      <c r="Q229" s="858">
        <f>'Overflow (5)'!$M37</f>
        <v>0</v>
      </c>
      <c r="R229" s="859">
        <f t="shared" si="42"/>
        <v>0</v>
      </c>
      <c r="S229" s="825">
        <f>'Overflow (5)'!G91</f>
        <v>0</v>
      </c>
      <c r="T229" s="826">
        <f t="shared" si="43"/>
        <v>0</v>
      </c>
      <c r="U229" s="860">
        <f>LOOKUP('Overflow (5)'!$C37,Cities!$A$3:$A$356,Cities!$D$3:$D$356)</f>
        <v>0</v>
      </c>
      <c r="V229" s="861">
        <f t="shared" si="44"/>
        <v>0</v>
      </c>
    </row>
    <row r="230" spans="1:22" x14ac:dyDescent="0.2">
      <c r="A230" s="271">
        <f>LOOKUP('Overflow (5)'!$C38,Cities!$A$3:$A$356,Cities!$C$3:$C$356)</f>
        <v>0</v>
      </c>
      <c r="B230" s="959">
        <f>'Print Return'!L$37</f>
        <v>0</v>
      </c>
      <c r="C230" s="858">
        <f>'Overflow (5)'!$M38</f>
        <v>0</v>
      </c>
      <c r="D230" s="859">
        <f t="shared" si="36"/>
        <v>0</v>
      </c>
      <c r="E230" s="825">
        <f>'Overflow (5)'!G92</f>
        <v>0</v>
      </c>
      <c r="F230" s="826">
        <f t="shared" si="37"/>
        <v>0</v>
      </c>
      <c r="G230" s="960">
        <f t="shared" si="38"/>
        <v>0</v>
      </c>
      <c r="H230" s="122">
        <f>'Print Return'!L$41</f>
        <v>0</v>
      </c>
      <c r="I230" s="293">
        <f>IF('Overflow (5)'!O38&lt;2015,MIN(G230,H230)/2,MIN(G230,H230))</f>
        <v>0</v>
      </c>
      <c r="J230" s="960">
        <f t="shared" si="39"/>
        <v>0</v>
      </c>
      <c r="K230" s="293">
        <f t="shared" si="40"/>
        <v>0</v>
      </c>
      <c r="L230" s="860">
        <f>LOOKUP('Overflow (5)'!$C38,Cities!$A$3:$A$356,Cities!$D$3:$D$356)</f>
        <v>0</v>
      </c>
      <c r="M230" s="861">
        <f t="shared" si="41"/>
        <v>0</v>
      </c>
      <c r="O230" s="271">
        <f>LOOKUP('Overflow (5)'!$C38,Cities!$A$3:$A$356,Cities!$C$3:$C$356)</f>
        <v>0</v>
      </c>
      <c r="P230" s="857">
        <f>IF('Overflow (5)'!O38&lt;2015,'Print Return'!L$45,J230)</f>
        <v>0</v>
      </c>
      <c r="Q230" s="858">
        <f>'Overflow (5)'!$M38</f>
        <v>0</v>
      </c>
      <c r="R230" s="859">
        <f t="shared" si="42"/>
        <v>0</v>
      </c>
      <c r="S230" s="825">
        <f>'Overflow (5)'!G92</f>
        <v>0</v>
      </c>
      <c r="T230" s="826">
        <f t="shared" si="43"/>
        <v>0</v>
      </c>
      <c r="U230" s="860">
        <f>LOOKUP('Overflow (5)'!$C38,Cities!$A$3:$A$356,Cities!$D$3:$D$356)</f>
        <v>0</v>
      </c>
      <c r="V230" s="861">
        <f t="shared" si="44"/>
        <v>0</v>
      </c>
    </row>
    <row r="231" spans="1:22" x14ac:dyDescent="0.2">
      <c r="A231" s="271">
        <f>LOOKUP('Overflow (5)'!$C39,Cities!$A$3:$A$356,Cities!$C$3:$C$356)</f>
        <v>0</v>
      </c>
      <c r="B231" s="959">
        <f>'Print Return'!L$37</f>
        <v>0</v>
      </c>
      <c r="C231" s="858">
        <f>'Overflow (5)'!$M39</f>
        <v>0</v>
      </c>
      <c r="D231" s="859">
        <f t="shared" si="36"/>
        <v>0</v>
      </c>
      <c r="E231" s="825">
        <f>'Overflow (5)'!G93</f>
        <v>0</v>
      </c>
      <c r="F231" s="826">
        <f t="shared" si="37"/>
        <v>0</v>
      </c>
      <c r="G231" s="960">
        <f t="shared" si="38"/>
        <v>0</v>
      </c>
      <c r="H231" s="122">
        <f>'Print Return'!L$41</f>
        <v>0</v>
      </c>
      <c r="I231" s="293">
        <f>IF('Overflow (5)'!O39&lt;2015,MIN(G231,H231)/2,MIN(G231,H231))</f>
        <v>0</v>
      </c>
      <c r="J231" s="960">
        <f t="shared" si="39"/>
        <v>0</v>
      </c>
      <c r="K231" s="293">
        <f t="shared" si="40"/>
        <v>0</v>
      </c>
      <c r="L231" s="860">
        <f>LOOKUP('Overflow (5)'!$C39,Cities!$A$3:$A$356,Cities!$D$3:$D$356)</f>
        <v>0</v>
      </c>
      <c r="M231" s="861">
        <f t="shared" si="41"/>
        <v>0</v>
      </c>
      <c r="O231" s="271">
        <f>LOOKUP('Overflow (5)'!$C39,Cities!$A$3:$A$356,Cities!$C$3:$C$356)</f>
        <v>0</v>
      </c>
      <c r="P231" s="857">
        <f>IF('Overflow (5)'!O39&lt;2015,'Print Return'!L$45,J231)</f>
        <v>0</v>
      </c>
      <c r="Q231" s="858">
        <f>'Overflow (5)'!$M39</f>
        <v>0</v>
      </c>
      <c r="R231" s="859">
        <f t="shared" si="42"/>
        <v>0</v>
      </c>
      <c r="S231" s="825">
        <f>'Overflow (5)'!G93</f>
        <v>0</v>
      </c>
      <c r="T231" s="826">
        <f t="shared" si="43"/>
        <v>0</v>
      </c>
      <c r="U231" s="860">
        <f>LOOKUP('Overflow (5)'!$C39,Cities!$A$3:$A$356,Cities!$D$3:$D$356)</f>
        <v>0</v>
      </c>
      <c r="V231" s="861">
        <f t="shared" si="44"/>
        <v>0</v>
      </c>
    </row>
    <row r="232" spans="1:22" x14ac:dyDescent="0.2">
      <c r="A232" s="271">
        <f>LOOKUP('Overflow (5)'!$C40,Cities!$A$3:$A$356,Cities!$C$3:$C$356)</f>
        <v>0</v>
      </c>
      <c r="B232" s="959">
        <f>'Print Return'!L$37</f>
        <v>0</v>
      </c>
      <c r="C232" s="858">
        <f>'Overflow (5)'!$M40</f>
        <v>0</v>
      </c>
      <c r="D232" s="859">
        <f t="shared" si="36"/>
        <v>0</v>
      </c>
      <c r="E232" s="825">
        <f>'Overflow (5)'!G94</f>
        <v>0</v>
      </c>
      <c r="F232" s="826">
        <f t="shared" si="37"/>
        <v>0</v>
      </c>
      <c r="G232" s="960">
        <f t="shared" si="38"/>
        <v>0</v>
      </c>
      <c r="H232" s="122">
        <f>'Print Return'!L$41</f>
        <v>0</v>
      </c>
      <c r="I232" s="293">
        <f>IF('Overflow (5)'!O40&lt;2015,MIN(G232,H232)/2,MIN(G232,H232))</f>
        <v>0</v>
      </c>
      <c r="J232" s="960">
        <f t="shared" si="39"/>
        <v>0</v>
      </c>
      <c r="K232" s="293">
        <f t="shared" si="40"/>
        <v>0</v>
      </c>
      <c r="L232" s="860">
        <f>LOOKUP('Overflow (5)'!$C40,Cities!$A$3:$A$356,Cities!$D$3:$D$356)</f>
        <v>0</v>
      </c>
      <c r="M232" s="861">
        <f t="shared" si="41"/>
        <v>0</v>
      </c>
      <c r="O232" s="271">
        <f>LOOKUP('Overflow (5)'!$C40,Cities!$A$3:$A$356,Cities!$C$3:$C$356)</f>
        <v>0</v>
      </c>
      <c r="P232" s="857">
        <f>IF('Overflow (5)'!O40&lt;2015,'Print Return'!L$45,J232)</f>
        <v>0</v>
      </c>
      <c r="Q232" s="858">
        <f>'Overflow (5)'!$M40</f>
        <v>0</v>
      </c>
      <c r="R232" s="859">
        <f t="shared" si="42"/>
        <v>0</v>
      </c>
      <c r="S232" s="825">
        <f>'Overflow (5)'!G94</f>
        <v>0</v>
      </c>
      <c r="T232" s="826">
        <f t="shared" si="43"/>
        <v>0</v>
      </c>
      <c r="U232" s="860">
        <f>LOOKUP('Overflow (5)'!$C40,Cities!$A$3:$A$356,Cities!$D$3:$D$356)</f>
        <v>0</v>
      </c>
      <c r="V232" s="861">
        <f t="shared" si="44"/>
        <v>0</v>
      </c>
    </row>
    <row r="233" spans="1:22" x14ac:dyDescent="0.2">
      <c r="A233" s="271">
        <f>LOOKUP('Overflow (5)'!$C41,Cities!$A$3:$A$356,Cities!$C$3:$C$356)</f>
        <v>0</v>
      </c>
      <c r="B233" s="959">
        <f>'Print Return'!L$37</f>
        <v>0</v>
      </c>
      <c r="C233" s="858">
        <f>'Overflow (5)'!$M41</f>
        <v>0</v>
      </c>
      <c r="D233" s="859">
        <f t="shared" si="36"/>
        <v>0</v>
      </c>
      <c r="E233" s="825">
        <f>'Overflow (5)'!G95</f>
        <v>0</v>
      </c>
      <c r="F233" s="826">
        <f t="shared" si="37"/>
        <v>0</v>
      </c>
      <c r="G233" s="960">
        <f t="shared" si="38"/>
        <v>0</v>
      </c>
      <c r="H233" s="122">
        <f>'Print Return'!L$41</f>
        <v>0</v>
      </c>
      <c r="I233" s="293">
        <f>IF('Overflow (5)'!O41&lt;2015,MIN(G233,H233)/2,MIN(G233,H233))</f>
        <v>0</v>
      </c>
      <c r="J233" s="960">
        <f t="shared" si="39"/>
        <v>0</v>
      </c>
      <c r="K233" s="293">
        <f t="shared" si="40"/>
        <v>0</v>
      </c>
      <c r="L233" s="860">
        <f>LOOKUP('Overflow (5)'!$C41,Cities!$A$3:$A$356,Cities!$D$3:$D$356)</f>
        <v>0</v>
      </c>
      <c r="M233" s="861">
        <f t="shared" si="41"/>
        <v>0</v>
      </c>
      <c r="O233" s="271">
        <f>LOOKUP('Overflow (5)'!$C41,Cities!$A$3:$A$356,Cities!$C$3:$C$356)</f>
        <v>0</v>
      </c>
      <c r="P233" s="857">
        <f>IF('Overflow (5)'!O41&lt;2015,'Print Return'!L$45,J233)</f>
        <v>0</v>
      </c>
      <c r="Q233" s="858">
        <f>'Overflow (5)'!$M41</f>
        <v>0</v>
      </c>
      <c r="R233" s="859">
        <f t="shared" si="42"/>
        <v>0</v>
      </c>
      <c r="S233" s="825">
        <f>'Overflow (5)'!G95</f>
        <v>0</v>
      </c>
      <c r="T233" s="826">
        <f t="shared" si="43"/>
        <v>0</v>
      </c>
      <c r="U233" s="860">
        <f>LOOKUP('Overflow (5)'!$C41,Cities!$A$3:$A$356,Cities!$D$3:$D$356)</f>
        <v>0</v>
      </c>
      <c r="V233" s="861">
        <f t="shared" si="44"/>
        <v>0</v>
      </c>
    </row>
    <row r="234" spans="1:22" x14ac:dyDescent="0.2">
      <c r="A234" s="271">
        <f>LOOKUP('Overflow (5)'!$C42,Cities!$A$3:$A$356,Cities!$C$3:$C$356)</f>
        <v>0</v>
      </c>
      <c r="B234" s="959">
        <f>'Print Return'!L$37</f>
        <v>0</v>
      </c>
      <c r="C234" s="858">
        <f>'Overflow (5)'!$M42</f>
        <v>0</v>
      </c>
      <c r="D234" s="859">
        <f t="shared" si="36"/>
        <v>0</v>
      </c>
      <c r="E234" s="825">
        <f>'Overflow (5)'!G96</f>
        <v>0</v>
      </c>
      <c r="F234" s="826">
        <f t="shared" si="37"/>
        <v>0</v>
      </c>
      <c r="G234" s="960">
        <f t="shared" si="38"/>
        <v>0</v>
      </c>
      <c r="H234" s="122">
        <f>'Print Return'!L$41</f>
        <v>0</v>
      </c>
      <c r="I234" s="293">
        <f>IF('Overflow (5)'!O42&lt;2015,MIN(G234,H234)/2,MIN(G234,H234))</f>
        <v>0</v>
      </c>
      <c r="J234" s="960">
        <f t="shared" si="39"/>
        <v>0</v>
      </c>
      <c r="K234" s="293">
        <f t="shared" si="40"/>
        <v>0</v>
      </c>
      <c r="L234" s="860">
        <f>LOOKUP('Overflow (5)'!$C42,Cities!$A$3:$A$356,Cities!$D$3:$D$356)</f>
        <v>0</v>
      </c>
      <c r="M234" s="861">
        <f t="shared" si="41"/>
        <v>0</v>
      </c>
      <c r="O234" s="271">
        <f>LOOKUP('Overflow (5)'!$C42,Cities!$A$3:$A$356,Cities!$C$3:$C$356)</f>
        <v>0</v>
      </c>
      <c r="P234" s="857">
        <f>IF('Overflow (5)'!O42&lt;2015,'Print Return'!L$45,J234)</f>
        <v>0</v>
      </c>
      <c r="Q234" s="858">
        <f>'Overflow (5)'!$M42</f>
        <v>0</v>
      </c>
      <c r="R234" s="859">
        <f t="shared" si="42"/>
        <v>0</v>
      </c>
      <c r="S234" s="825">
        <f>'Overflow (5)'!G96</f>
        <v>0</v>
      </c>
      <c r="T234" s="826">
        <f t="shared" si="43"/>
        <v>0</v>
      </c>
      <c r="U234" s="860">
        <f>LOOKUP('Overflow (5)'!$C42,Cities!$A$3:$A$356,Cities!$D$3:$D$356)</f>
        <v>0</v>
      </c>
      <c r="V234" s="861">
        <f t="shared" si="44"/>
        <v>0</v>
      </c>
    </row>
    <row r="235" spans="1:22" x14ac:dyDescent="0.2">
      <c r="A235" s="271">
        <f>LOOKUP('Overflow (5)'!$C43,Cities!$A$3:$A$356,Cities!$C$3:$C$356)</f>
        <v>0</v>
      </c>
      <c r="B235" s="959">
        <f>'Print Return'!L$37</f>
        <v>0</v>
      </c>
      <c r="C235" s="858">
        <f>'Overflow (5)'!$M43</f>
        <v>0</v>
      </c>
      <c r="D235" s="859">
        <f t="shared" si="36"/>
        <v>0</v>
      </c>
      <c r="E235" s="825">
        <f>'Overflow (5)'!G97</f>
        <v>0</v>
      </c>
      <c r="F235" s="826">
        <f t="shared" si="37"/>
        <v>0</v>
      </c>
      <c r="G235" s="960">
        <f t="shared" si="38"/>
        <v>0</v>
      </c>
      <c r="H235" s="122">
        <f>'Print Return'!L$41</f>
        <v>0</v>
      </c>
      <c r="I235" s="293">
        <f>IF('Overflow (5)'!O43&lt;2015,MIN(G235,H235)/2,MIN(G235,H235))</f>
        <v>0</v>
      </c>
      <c r="J235" s="960">
        <f t="shared" si="39"/>
        <v>0</v>
      </c>
      <c r="K235" s="293">
        <f t="shared" si="40"/>
        <v>0</v>
      </c>
      <c r="L235" s="860">
        <f>LOOKUP('Overflow (5)'!$C43,Cities!$A$3:$A$356,Cities!$D$3:$D$356)</f>
        <v>0</v>
      </c>
      <c r="M235" s="861">
        <f t="shared" si="41"/>
        <v>0</v>
      </c>
      <c r="O235" s="271">
        <f>LOOKUP('Overflow (5)'!$C43,Cities!$A$3:$A$356,Cities!$C$3:$C$356)</f>
        <v>0</v>
      </c>
      <c r="P235" s="857">
        <f>IF('Overflow (5)'!O43&lt;2015,'Print Return'!L$45,J235)</f>
        <v>0</v>
      </c>
      <c r="Q235" s="858">
        <f>'Overflow (5)'!$M43</f>
        <v>0</v>
      </c>
      <c r="R235" s="859">
        <f t="shared" si="42"/>
        <v>0</v>
      </c>
      <c r="S235" s="825">
        <f>'Overflow (5)'!G97</f>
        <v>0</v>
      </c>
      <c r="T235" s="826">
        <f t="shared" si="43"/>
        <v>0</v>
      </c>
      <c r="U235" s="860">
        <f>LOOKUP('Overflow (5)'!$C43,Cities!$A$3:$A$356,Cities!$D$3:$D$356)</f>
        <v>0</v>
      </c>
      <c r="V235" s="861">
        <f t="shared" si="44"/>
        <v>0</v>
      </c>
    </row>
    <row r="236" spans="1:22" x14ac:dyDescent="0.2">
      <c r="A236" s="271">
        <f>LOOKUP('Overflow (5)'!$C44,Cities!$A$3:$A$356,Cities!$C$3:$C$356)</f>
        <v>0</v>
      </c>
      <c r="B236" s="959">
        <f>'Print Return'!L$37</f>
        <v>0</v>
      </c>
      <c r="C236" s="858">
        <f>'Overflow (5)'!$M44</f>
        <v>0</v>
      </c>
      <c r="D236" s="859">
        <f t="shared" si="36"/>
        <v>0</v>
      </c>
      <c r="E236" s="825">
        <f>'Overflow (5)'!G98</f>
        <v>0</v>
      </c>
      <c r="F236" s="826">
        <f t="shared" si="37"/>
        <v>0</v>
      </c>
      <c r="G236" s="960">
        <f t="shared" si="38"/>
        <v>0</v>
      </c>
      <c r="H236" s="122">
        <f>'Print Return'!L$41</f>
        <v>0</v>
      </c>
      <c r="I236" s="293">
        <f>IF('Overflow (5)'!O44&lt;2015,MIN(G236,H236)/2,MIN(G236,H236))</f>
        <v>0</v>
      </c>
      <c r="J236" s="960">
        <f t="shared" si="39"/>
        <v>0</v>
      </c>
      <c r="K236" s="293">
        <f t="shared" si="40"/>
        <v>0</v>
      </c>
      <c r="L236" s="860">
        <f>LOOKUP('Overflow (5)'!$C44,Cities!$A$3:$A$356,Cities!$D$3:$D$356)</f>
        <v>0</v>
      </c>
      <c r="M236" s="861">
        <f t="shared" si="41"/>
        <v>0</v>
      </c>
      <c r="O236" s="271">
        <f>LOOKUP('Overflow (5)'!$C44,Cities!$A$3:$A$356,Cities!$C$3:$C$356)</f>
        <v>0</v>
      </c>
      <c r="P236" s="857">
        <f>IF('Overflow (5)'!O44&lt;2015,'Print Return'!L$45,J236)</f>
        <v>0</v>
      </c>
      <c r="Q236" s="858">
        <f>'Overflow (5)'!$M44</f>
        <v>0</v>
      </c>
      <c r="R236" s="859">
        <f t="shared" si="42"/>
        <v>0</v>
      </c>
      <c r="S236" s="825">
        <f>'Overflow (5)'!G98</f>
        <v>0</v>
      </c>
      <c r="T236" s="826">
        <f t="shared" si="43"/>
        <v>0</v>
      </c>
      <c r="U236" s="860">
        <f>LOOKUP('Overflow (5)'!$C44,Cities!$A$3:$A$356,Cities!$D$3:$D$356)</f>
        <v>0</v>
      </c>
      <c r="V236" s="861">
        <f t="shared" si="44"/>
        <v>0</v>
      </c>
    </row>
    <row r="237" spans="1:22" x14ac:dyDescent="0.2">
      <c r="A237" s="271">
        <f>LOOKUP('Overflow (5)'!$C45,Cities!$A$3:$A$356,Cities!$C$3:$C$356)</f>
        <v>0</v>
      </c>
      <c r="B237" s="959">
        <f>'Print Return'!L$37</f>
        <v>0</v>
      </c>
      <c r="C237" s="858">
        <f>'Overflow (5)'!$M45</f>
        <v>0</v>
      </c>
      <c r="D237" s="859">
        <f t="shared" si="36"/>
        <v>0</v>
      </c>
      <c r="E237" s="825">
        <f>'Overflow (5)'!G99</f>
        <v>0</v>
      </c>
      <c r="F237" s="826">
        <f t="shared" si="37"/>
        <v>0</v>
      </c>
      <c r="G237" s="960">
        <f t="shared" si="38"/>
        <v>0</v>
      </c>
      <c r="H237" s="122">
        <f>'Print Return'!L$41</f>
        <v>0</v>
      </c>
      <c r="I237" s="293">
        <f>IF('Overflow (5)'!O45&lt;2015,MIN(G237,H237)/2,MIN(G237,H237))</f>
        <v>0</v>
      </c>
      <c r="J237" s="960">
        <f t="shared" si="39"/>
        <v>0</v>
      </c>
      <c r="K237" s="293">
        <f t="shared" si="40"/>
        <v>0</v>
      </c>
      <c r="L237" s="860">
        <f>LOOKUP('Overflow (5)'!$C45,Cities!$A$3:$A$356,Cities!$D$3:$D$356)</f>
        <v>0</v>
      </c>
      <c r="M237" s="861">
        <f t="shared" si="41"/>
        <v>0</v>
      </c>
      <c r="O237" s="271">
        <f>LOOKUP('Overflow (5)'!$C45,Cities!$A$3:$A$356,Cities!$C$3:$C$356)</f>
        <v>0</v>
      </c>
      <c r="P237" s="857">
        <f>IF('Overflow (5)'!O45&lt;2015,'Print Return'!L$45,J237)</f>
        <v>0</v>
      </c>
      <c r="Q237" s="858">
        <f>'Overflow (5)'!$M45</f>
        <v>0</v>
      </c>
      <c r="R237" s="859">
        <f t="shared" si="42"/>
        <v>0</v>
      </c>
      <c r="S237" s="825">
        <f>'Overflow (5)'!G99</f>
        <v>0</v>
      </c>
      <c r="T237" s="826">
        <f t="shared" si="43"/>
        <v>0</v>
      </c>
      <c r="U237" s="860">
        <f>LOOKUP('Overflow (5)'!$C45,Cities!$A$3:$A$356,Cities!$D$3:$D$356)</f>
        <v>0</v>
      </c>
      <c r="V237" s="861">
        <f t="shared" si="44"/>
        <v>0</v>
      </c>
    </row>
    <row r="238" spans="1:22" x14ac:dyDescent="0.2">
      <c r="A238" s="271">
        <f>LOOKUP('Overflow (5)'!$C46,Cities!$A$3:$A$356,Cities!$C$3:$C$356)</f>
        <v>0</v>
      </c>
      <c r="B238" s="959">
        <f>'Print Return'!L$37</f>
        <v>0</v>
      </c>
      <c r="C238" s="858">
        <f>'Overflow (5)'!$M46</f>
        <v>0</v>
      </c>
      <c r="D238" s="859">
        <f t="shared" si="36"/>
        <v>0</v>
      </c>
      <c r="E238" s="825">
        <f>'Overflow (5)'!G100</f>
        <v>0</v>
      </c>
      <c r="F238" s="826">
        <f t="shared" si="37"/>
        <v>0</v>
      </c>
      <c r="G238" s="960">
        <f t="shared" si="38"/>
        <v>0</v>
      </c>
      <c r="H238" s="122">
        <f>'Print Return'!L$41</f>
        <v>0</v>
      </c>
      <c r="I238" s="293">
        <f>IF('Overflow (5)'!O46&lt;2015,MIN(G238,H238)/2,MIN(G238,H238))</f>
        <v>0</v>
      </c>
      <c r="J238" s="960">
        <f t="shared" si="39"/>
        <v>0</v>
      </c>
      <c r="K238" s="293">
        <f t="shared" si="40"/>
        <v>0</v>
      </c>
      <c r="L238" s="860">
        <f>LOOKUP('Overflow (5)'!$C46,Cities!$A$3:$A$356,Cities!$D$3:$D$356)</f>
        <v>0</v>
      </c>
      <c r="M238" s="861">
        <f t="shared" si="41"/>
        <v>0</v>
      </c>
      <c r="O238" s="271">
        <f>LOOKUP('Overflow (5)'!$C46,Cities!$A$3:$A$356,Cities!$C$3:$C$356)</f>
        <v>0</v>
      </c>
      <c r="P238" s="857">
        <f>IF('Overflow (5)'!O46&lt;2015,'Print Return'!L$45,J238)</f>
        <v>0</v>
      </c>
      <c r="Q238" s="858">
        <f>'Overflow (5)'!$M46</f>
        <v>0</v>
      </c>
      <c r="R238" s="859">
        <f t="shared" si="42"/>
        <v>0</v>
      </c>
      <c r="S238" s="825">
        <f>'Overflow (5)'!G100</f>
        <v>0</v>
      </c>
      <c r="T238" s="826">
        <f t="shared" si="43"/>
        <v>0</v>
      </c>
      <c r="U238" s="860">
        <f>LOOKUP('Overflow (5)'!$C46,Cities!$A$3:$A$356,Cities!$D$3:$D$356)</f>
        <v>0</v>
      </c>
      <c r="V238" s="861">
        <f t="shared" si="44"/>
        <v>0</v>
      </c>
    </row>
    <row r="239" spans="1:22" x14ac:dyDescent="0.2">
      <c r="A239" s="271">
        <f>LOOKUP('Overflow (5)'!$C47,Cities!$A$3:$A$356,Cities!$C$3:$C$356)</f>
        <v>0</v>
      </c>
      <c r="B239" s="959">
        <f>'Print Return'!L$37</f>
        <v>0</v>
      </c>
      <c r="C239" s="858">
        <f>'Overflow (5)'!$M47</f>
        <v>0</v>
      </c>
      <c r="D239" s="859">
        <f t="shared" si="36"/>
        <v>0</v>
      </c>
      <c r="E239" s="825">
        <f>'Overflow (5)'!G101</f>
        <v>0</v>
      </c>
      <c r="F239" s="826">
        <f t="shared" si="37"/>
        <v>0</v>
      </c>
      <c r="G239" s="960">
        <f t="shared" si="38"/>
        <v>0</v>
      </c>
      <c r="H239" s="122">
        <f>'Print Return'!L$41</f>
        <v>0</v>
      </c>
      <c r="I239" s="293">
        <f>IF('Overflow (5)'!O47&lt;2015,MIN(G239,H239)/2,MIN(G239,H239))</f>
        <v>0</v>
      </c>
      <c r="J239" s="960">
        <f t="shared" si="39"/>
        <v>0</v>
      </c>
      <c r="K239" s="293">
        <f t="shared" si="40"/>
        <v>0</v>
      </c>
      <c r="L239" s="860">
        <f>LOOKUP('Overflow (5)'!$C47,Cities!$A$3:$A$356,Cities!$D$3:$D$356)</f>
        <v>0</v>
      </c>
      <c r="M239" s="861">
        <f t="shared" si="41"/>
        <v>0</v>
      </c>
      <c r="O239" s="271">
        <f>LOOKUP('Overflow (5)'!$C47,Cities!$A$3:$A$356,Cities!$C$3:$C$356)</f>
        <v>0</v>
      </c>
      <c r="P239" s="857">
        <f>IF('Overflow (5)'!O47&lt;2015,'Print Return'!L$45,J239)</f>
        <v>0</v>
      </c>
      <c r="Q239" s="858">
        <f>'Overflow (5)'!$M47</f>
        <v>0</v>
      </c>
      <c r="R239" s="859">
        <f t="shared" si="42"/>
        <v>0</v>
      </c>
      <c r="S239" s="825">
        <f>'Overflow (5)'!G101</f>
        <v>0</v>
      </c>
      <c r="T239" s="826">
        <f t="shared" si="43"/>
        <v>0</v>
      </c>
      <c r="U239" s="860">
        <f>LOOKUP('Overflow (5)'!$C47,Cities!$A$3:$A$356,Cities!$D$3:$D$356)</f>
        <v>0</v>
      </c>
      <c r="V239" s="861">
        <f t="shared" si="44"/>
        <v>0</v>
      </c>
    </row>
    <row r="240" spans="1:22" x14ac:dyDescent="0.2">
      <c r="A240" s="271">
        <f>LOOKUP('Overflow (5)'!$C48,Cities!$A$3:$A$356,Cities!$C$3:$C$356)</f>
        <v>0</v>
      </c>
      <c r="B240" s="959">
        <f>'Print Return'!L$37</f>
        <v>0</v>
      </c>
      <c r="C240" s="858">
        <f>'Overflow (5)'!$M48</f>
        <v>0</v>
      </c>
      <c r="D240" s="859">
        <f t="shared" si="36"/>
        <v>0</v>
      </c>
      <c r="E240" s="825">
        <f>'Overflow (5)'!G102</f>
        <v>0</v>
      </c>
      <c r="F240" s="826">
        <f t="shared" si="37"/>
        <v>0</v>
      </c>
      <c r="G240" s="960">
        <f t="shared" si="38"/>
        <v>0</v>
      </c>
      <c r="H240" s="122">
        <f>'Print Return'!L$41</f>
        <v>0</v>
      </c>
      <c r="I240" s="293">
        <f>IF('Overflow (5)'!O48&lt;2015,MIN(G240,H240)/2,MIN(G240,H240))</f>
        <v>0</v>
      </c>
      <c r="J240" s="960">
        <f t="shared" si="39"/>
        <v>0</v>
      </c>
      <c r="K240" s="293">
        <f t="shared" si="40"/>
        <v>0</v>
      </c>
      <c r="L240" s="860">
        <f>LOOKUP('Overflow (5)'!$C48,Cities!$A$3:$A$356,Cities!$D$3:$D$356)</f>
        <v>0</v>
      </c>
      <c r="M240" s="861">
        <f t="shared" si="41"/>
        <v>0</v>
      </c>
      <c r="O240" s="271">
        <f>LOOKUP('Overflow (5)'!$C48,Cities!$A$3:$A$356,Cities!$C$3:$C$356)</f>
        <v>0</v>
      </c>
      <c r="P240" s="857">
        <f>IF('Overflow (5)'!O48&lt;2015,'Print Return'!L$45,J240)</f>
        <v>0</v>
      </c>
      <c r="Q240" s="858">
        <f>'Overflow (5)'!$M48</f>
        <v>0</v>
      </c>
      <c r="R240" s="859">
        <f t="shared" si="42"/>
        <v>0</v>
      </c>
      <c r="S240" s="825">
        <f>'Overflow (5)'!G102</f>
        <v>0</v>
      </c>
      <c r="T240" s="826">
        <f t="shared" si="43"/>
        <v>0</v>
      </c>
      <c r="U240" s="860">
        <f>LOOKUP('Overflow (5)'!$C48,Cities!$A$3:$A$356,Cities!$D$3:$D$356)</f>
        <v>0</v>
      </c>
      <c r="V240" s="861">
        <f t="shared" si="44"/>
        <v>0</v>
      </c>
    </row>
    <row r="241" spans="1:25" x14ac:dyDescent="0.2">
      <c r="A241" s="271">
        <f>LOOKUP('Overflow (5)'!$C49,Cities!$A$3:$A$356,Cities!$C$3:$C$356)</f>
        <v>0</v>
      </c>
      <c r="B241" s="959">
        <f>'Print Return'!L$37</f>
        <v>0</v>
      </c>
      <c r="C241" s="858">
        <f>'Overflow (5)'!$M49</f>
        <v>0</v>
      </c>
      <c r="D241" s="859">
        <f t="shared" si="36"/>
        <v>0</v>
      </c>
      <c r="E241" s="825">
        <f>'Overflow (5)'!G103</f>
        <v>0</v>
      </c>
      <c r="F241" s="826">
        <f t="shared" si="37"/>
        <v>0</v>
      </c>
      <c r="G241" s="960">
        <f t="shared" si="38"/>
        <v>0</v>
      </c>
      <c r="H241" s="122">
        <f>'Print Return'!L$41</f>
        <v>0</v>
      </c>
      <c r="I241" s="293">
        <f>IF('Overflow (5)'!O49&lt;2015,MIN(G241,H241)/2,MIN(G241,H241))</f>
        <v>0</v>
      </c>
      <c r="J241" s="960">
        <f t="shared" si="39"/>
        <v>0</v>
      </c>
      <c r="K241" s="293">
        <f t="shared" si="40"/>
        <v>0</v>
      </c>
      <c r="L241" s="860">
        <f>LOOKUP('Overflow (5)'!$C49,Cities!$A$3:$A$356,Cities!$D$3:$D$356)</f>
        <v>0</v>
      </c>
      <c r="M241" s="861">
        <f t="shared" si="41"/>
        <v>0</v>
      </c>
      <c r="O241" s="271">
        <f>LOOKUP('Overflow (5)'!$C49,Cities!$A$3:$A$356,Cities!$C$3:$C$356)</f>
        <v>0</v>
      </c>
      <c r="P241" s="857">
        <f>IF('Overflow (5)'!O49&lt;2015,'Print Return'!L$45,J241)</f>
        <v>0</v>
      </c>
      <c r="Q241" s="858">
        <f>'Overflow (5)'!$M49</f>
        <v>0</v>
      </c>
      <c r="R241" s="859">
        <f t="shared" si="42"/>
        <v>0</v>
      </c>
      <c r="S241" s="825">
        <f>'Overflow (5)'!G103</f>
        <v>0</v>
      </c>
      <c r="T241" s="826">
        <f t="shared" si="43"/>
        <v>0</v>
      </c>
      <c r="U241" s="860">
        <f>LOOKUP('Overflow (5)'!$C49,Cities!$A$3:$A$356,Cities!$D$3:$D$356)</f>
        <v>0</v>
      </c>
      <c r="V241" s="861">
        <f t="shared" si="44"/>
        <v>0</v>
      </c>
    </row>
    <row r="242" spans="1:25" x14ac:dyDescent="0.2">
      <c r="A242" s="271">
        <f>LOOKUP('Overflow (5)'!$C50,Cities!$A$3:$A$356,Cities!$C$3:$C$356)</f>
        <v>0</v>
      </c>
      <c r="B242" s="959">
        <f>'Print Return'!L$37</f>
        <v>0</v>
      </c>
      <c r="C242" s="858">
        <f>'Overflow (5)'!$M50</f>
        <v>0</v>
      </c>
      <c r="D242" s="859">
        <f t="shared" si="36"/>
        <v>0</v>
      </c>
      <c r="E242" s="825">
        <f>'Overflow (5)'!G104</f>
        <v>0</v>
      </c>
      <c r="F242" s="826">
        <f t="shared" si="37"/>
        <v>0</v>
      </c>
      <c r="G242" s="960">
        <f t="shared" si="38"/>
        <v>0</v>
      </c>
      <c r="H242" s="122">
        <f>'Print Return'!L$41</f>
        <v>0</v>
      </c>
      <c r="I242" s="293">
        <f>IF('Overflow (5)'!O50&lt;2015,MIN(G242,H242)/2,MIN(G242,H242))</f>
        <v>0</v>
      </c>
      <c r="J242" s="960">
        <f t="shared" si="39"/>
        <v>0</v>
      </c>
      <c r="K242" s="293">
        <f t="shared" si="40"/>
        <v>0</v>
      </c>
      <c r="L242" s="860">
        <f>LOOKUP('Overflow (5)'!$C50,Cities!$A$3:$A$356,Cities!$D$3:$D$356)</f>
        <v>0</v>
      </c>
      <c r="M242" s="861">
        <f t="shared" si="41"/>
        <v>0</v>
      </c>
      <c r="O242" s="271">
        <f>LOOKUP('Overflow (5)'!$C50,Cities!$A$3:$A$356,Cities!$C$3:$C$356)</f>
        <v>0</v>
      </c>
      <c r="P242" s="857">
        <f>IF('Overflow (5)'!O50&lt;2015,'Print Return'!L$45,J242)</f>
        <v>0</v>
      </c>
      <c r="Q242" s="858">
        <f>'Overflow (5)'!$M50</f>
        <v>0</v>
      </c>
      <c r="R242" s="859">
        <f t="shared" si="42"/>
        <v>0</v>
      </c>
      <c r="S242" s="825">
        <f>'Overflow (5)'!G104</f>
        <v>0</v>
      </c>
      <c r="T242" s="826">
        <f t="shared" si="43"/>
        <v>0</v>
      </c>
      <c r="U242" s="860">
        <f>LOOKUP('Overflow (5)'!$C50,Cities!$A$3:$A$356,Cities!$D$3:$D$356)</f>
        <v>0</v>
      </c>
      <c r="V242" s="861">
        <f t="shared" si="44"/>
        <v>0</v>
      </c>
    </row>
    <row r="243" spans="1:25" x14ac:dyDescent="0.2">
      <c r="A243" s="271">
        <f>LOOKUP('Overflow (5)'!$C51,Cities!$A$3:$A$356,Cities!$C$3:$C$356)</f>
        <v>0</v>
      </c>
      <c r="B243" s="959">
        <f>'Print Return'!L$37</f>
        <v>0</v>
      </c>
      <c r="C243" s="858">
        <f>'Overflow (5)'!$M51</f>
        <v>0</v>
      </c>
      <c r="D243" s="859">
        <f t="shared" si="36"/>
        <v>0</v>
      </c>
      <c r="E243" s="825">
        <f>'Overflow (5)'!G105</f>
        <v>0</v>
      </c>
      <c r="F243" s="826">
        <f t="shared" si="37"/>
        <v>0</v>
      </c>
      <c r="G243" s="960">
        <f t="shared" si="38"/>
        <v>0</v>
      </c>
      <c r="H243" s="122">
        <f>'Print Return'!L$41</f>
        <v>0</v>
      </c>
      <c r="I243" s="293">
        <f>IF('Overflow (5)'!O51&lt;2015,MIN(G243,H243)/2,MIN(G243,H243))</f>
        <v>0</v>
      </c>
      <c r="J243" s="960">
        <f t="shared" si="39"/>
        <v>0</v>
      </c>
      <c r="K243" s="293">
        <f t="shared" si="40"/>
        <v>0</v>
      </c>
      <c r="L243" s="860">
        <f>LOOKUP('Overflow (5)'!$C51,Cities!$A$3:$A$356,Cities!$D$3:$D$356)</f>
        <v>0</v>
      </c>
      <c r="M243" s="861">
        <f t="shared" si="41"/>
        <v>0</v>
      </c>
      <c r="O243" s="271">
        <f>LOOKUP('Overflow (5)'!$C51,Cities!$A$3:$A$356,Cities!$C$3:$C$356)</f>
        <v>0</v>
      </c>
      <c r="P243" s="857">
        <f>IF('Overflow (5)'!O51&lt;2015,'Print Return'!L$45,J243)</f>
        <v>0</v>
      </c>
      <c r="Q243" s="858">
        <f>'Overflow (5)'!$M51</f>
        <v>0</v>
      </c>
      <c r="R243" s="859">
        <f t="shared" si="42"/>
        <v>0</v>
      </c>
      <c r="S243" s="825">
        <f>'Overflow (5)'!G105</f>
        <v>0</v>
      </c>
      <c r="T243" s="826">
        <f t="shared" si="43"/>
        <v>0</v>
      </c>
      <c r="U243" s="860">
        <f>LOOKUP('Overflow (5)'!$C51,Cities!$A$3:$A$356,Cities!$D$3:$D$356)</f>
        <v>0</v>
      </c>
      <c r="V243" s="861">
        <f t="shared" si="44"/>
        <v>0</v>
      </c>
    </row>
    <row r="244" spans="1:25" x14ac:dyDescent="0.2">
      <c r="A244" s="271">
        <f>LOOKUP('Overflow (5)'!$C52,Cities!$A$3:$A$356,Cities!$C$3:$C$356)</f>
        <v>0</v>
      </c>
      <c r="B244" s="959">
        <f>'Print Return'!L$37</f>
        <v>0</v>
      </c>
      <c r="C244" s="858">
        <f>'Overflow (5)'!$M52</f>
        <v>0</v>
      </c>
      <c r="D244" s="859">
        <f t="shared" si="36"/>
        <v>0</v>
      </c>
      <c r="E244" s="825">
        <f>'Overflow (5)'!G106</f>
        <v>0</v>
      </c>
      <c r="F244" s="826">
        <f t="shared" si="37"/>
        <v>0</v>
      </c>
      <c r="G244" s="960">
        <f t="shared" si="38"/>
        <v>0</v>
      </c>
      <c r="H244" s="122">
        <f>'Print Return'!L$41</f>
        <v>0</v>
      </c>
      <c r="I244" s="293">
        <f>IF('Overflow (5)'!O52&lt;2015,MIN(G244,H244)/2,MIN(G244,H244))</f>
        <v>0</v>
      </c>
      <c r="J244" s="960">
        <f t="shared" si="39"/>
        <v>0</v>
      </c>
      <c r="K244" s="293">
        <f t="shared" si="40"/>
        <v>0</v>
      </c>
      <c r="L244" s="860">
        <f>LOOKUP('Overflow (5)'!$C52,Cities!$A$3:$A$356,Cities!$D$3:$D$356)</f>
        <v>0</v>
      </c>
      <c r="M244" s="861">
        <f t="shared" si="41"/>
        <v>0</v>
      </c>
      <c r="O244" s="271">
        <f>LOOKUP('Overflow (5)'!$C52,Cities!$A$3:$A$356,Cities!$C$3:$C$356)</f>
        <v>0</v>
      </c>
      <c r="P244" s="857">
        <f>IF('Overflow (5)'!O52&lt;2015,'Print Return'!L$45,J244)</f>
        <v>0</v>
      </c>
      <c r="Q244" s="858">
        <f>'Overflow (5)'!$M52</f>
        <v>0</v>
      </c>
      <c r="R244" s="859">
        <f t="shared" si="42"/>
        <v>0</v>
      </c>
      <c r="S244" s="825">
        <f>'Overflow (5)'!G106</f>
        <v>0</v>
      </c>
      <c r="T244" s="826">
        <f t="shared" si="43"/>
        <v>0</v>
      </c>
      <c r="U244" s="860">
        <f>LOOKUP('Overflow (5)'!$C52,Cities!$A$3:$A$356,Cities!$D$3:$D$356)</f>
        <v>0</v>
      </c>
      <c r="V244" s="861">
        <f t="shared" si="44"/>
        <v>0</v>
      </c>
    </row>
    <row r="245" spans="1:25" x14ac:dyDescent="0.2">
      <c r="A245" s="271">
        <f>LOOKUP('Overflow (5)'!$C53,Cities!$A$3:$A$356,Cities!$C$3:$C$356)</f>
        <v>0</v>
      </c>
      <c r="B245" s="959">
        <f>'Print Return'!L$37</f>
        <v>0</v>
      </c>
      <c r="C245" s="858">
        <f>'Overflow (5)'!$M53</f>
        <v>0</v>
      </c>
      <c r="D245" s="859">
        <f t="shared" si="36"/>
        <v>0</v>
      </c>
      <c r="E245" s="825">
        <f>'Overflow (5)'!G107</f>
        <v>0</v>
      </c>
      <c r="F245" s="826">
        <f t="shared" si="37"/>
        <v>0</v>
      </c>
      <c r="G245" s="960">
        <f t="shared" si="38"/>
        <v>0</v>
      </c>
      <c r="H245" s="122">
        <f>'Print Return'!L$41</f>
        <v>0</v>
      </c>
      <c r="I245" s="293">
        <f>IF('Overflow (5)'!O53&lt;2015,MIN(G245,H245)/2,MIN(G245,H245))</f>
        <v>0</v>
      </c>
      <c r="J245" s="960">
        <f t="shared" si="39"/>
        <v>0</v>
      </c>
      <c r="K245" s="293">
        <f t="shared" si="40"/>
        <v>0</v>
      </c>
      <c r="L245" s="860">
        <f>LOOKUP('Overflow (5)'!$C53,Cities!$A$3:$A$356,Cities!$D$3:$D$356)</f>
        <v>0</v>
      </c>
      <c r="M245" s="861">
        <f t="shared" si="41"/>
        <v>0</v>
      </c>
      <c r="O245" s="271">
        <f>LOOKUP('Overflow (5)'!$C53,Cities!$A$3:$A$356,Cities!$C$3:$C$356)</f>
        <v>0</v>
      </c>
      <c r="P245" s="857">
        <f>IF('Overflow (5)'!O53&lt;2015,'Print Return'!L$45,J245)</f>
        <v>0</v>
      </c>
      <c r="Q245" s="858">
        <f>'Overflow (5)'!$M53</f>
        <v>0</v>
      </c>
      <c r="R245" s="859">
        <f t="shared" si="42"/>
        <v>0</v>
      </c>
      <c r="S245" s="825">
        <f>'Overflow (5)'!G107</f>
        <v>0</v>
      </c>
      <c r="T245" s="826">
        <f t="shared" si="43"/>
        <v>0</v>
      </c>
      <c r="U245" s="860">
        <f>LOOKUP('Overflow (5)'!$C53,Cities!$A$3:$A$356,Cities!$D$3:$D$356)</f>
        <v>0</v>
      </c>
      <c r="V245" s="861">
        <f t="shared" si="44"/>
        <v>0</v>
      </c>
    </row>
    <row r="246" spans="1:25" x14ac:dyDescent="0.2">
      <c r="A246" s="271">
        <f>LOOKUP('Overflow (5)'!$C54,Cities!$A$3:$A$356,Cities!$C$3:$C$356)</f>
        <v>0</v>
      </c>
      <c r="B246" s="959">
        <f>'Print Return'!L$37</f>
        <v>0</v>
      </c>
      <c r="C246" s="858">
        <f>'Overflow (5)'!$M54</f>
        <v>0</v>
      </c>
      <c r="D246" s="859">
        <f t="shared" si="36"/>
        <v>0</v>
      </c>
      <c r="E246" s="825">
        <f>'Overflow (5)'!G108</f>
        <v>0</v>
      </c>
      <c r="F246" s="826">
        <f t="shared" si="37"/>
        <v>0</v>
      </c>
      <c r="G246" s="960">
        <f t="shared" si="38"/>
        <v>0</v>
      </c>
      <c r="H246" s="122">
        <f>'Print Return'!L$41</f>
        <v>0</v>
      </c>
      <c r="I246" s="293">
        <f>IF('Overflow (5)'!O54&lt;2015,MIN(G246,H246)/2,MIN(G246,H246))</f>
        <v>0</v>
      </c>
      <c r="J246" s="960">
        <f t="shared" si="39"/>
        <v>0</v>
      </c>
      <c r="K246" s="293">
        <f t="shared" si="40"/>
        <v>0</v>
      </c>
      <c r="L246" s="860">
        <f>LOOKUP('Overflow (5)'!$C54,Cities!$A$3:$A$356,Cities!$D$3:$D$356)</f>
        <v>0</v>
      </c>
      <c r="M246" s="861">
        <f t="shared" si="41"/>
        <v>0</v>
      </c>
      <c r="O246" s="271">
        <f>LOOKUP('Overflow (5)'!$C54,Cities!$A$3:$A$356,Cities!$C$3:$C$356)</f>
        <v>0</v>
      </c>
      <c r="P246" s="857">
        <f>IF('Overflow (5)'!O54&lt;2015,'Print Return'!L$45,J246)</f>
        <v>0</v>
      </c>
      <c r="Q246" s="858">
        <f>'Overflow (5)'!$M54</f>
        <v>0</v>
      </c>
      <c r="R246" s="859">
        <f t="shared" si="42"/>
        <v>0</v>
      </c>
      <c r="S246" s="825">
        <f>'Overflow (5)'!G108</f>
        <v>0</v>
      </c>
      <c r="T246" s="826">
        <f t="shared" si="43"/>
        <v>0</v>
      </c>
      <c r="U246" s="860">
        <f>LOOKUP('Overflow (5)'!$C54,Cities!$A$3:$A$356,Cities!$D$3:$D$356)</f>
        <v>0</v>
      </c>
      <c r="V246" s="861">
        <f t="shared" si="44"/>
        <v>0</v>
      </c>
    </row>
    <row r="247" spans="1:25" x14ac:dyDescent="0.2">
      <c r="A247" s="271">
        <f>LOOKUP('Overflow (5)'!$C55,Cities!$A$3:$A$356,Cities!$C$3:$C$356)</f>
        <v>0</v>
      </c>
      <c r="B247" s="959">
        <f>'Print Return'!L$37</f>
        <v>0</v>
      </c>
      <c r="C247" s="858">
        <f>'Overflow (5)'!$M55</f>
        <v>0</v>
      </c>
      <c r="D247" s="859">
        <f t="shared" si="36"/>
        <v>0</v>
      </c>
      <c r="E247" s="825">
        <f>'Overflow (5)'!G109</f>
        <v>0</v>
      </c>
      <c r="F247" s="826">
        <f t="shared" si="37"/>
        <v>0</v>
      </c>
      <c r="G247" s="960">
        <f t="shared" si="38"/>
        <v>0</v>
      </c>
      <c r="H247" s="122">
        <f>'Print Return'!L$41</f>
        <v>0</v>
      </c>
      <c r="I247" s="293">
        <f>IF('Overflow (5)'!O55&lt;2015,MIN(G247,H247)/2,MIN(G247,H247))</f>
        <v>0</v>
      </c>
      <c r="J247" s="960">
        <f t="shared" si="39"/>
        <v>0</v>
      </c>
      <c r="K247" s="293">
        <f t="shared" si="40"/>
        <v>0</v>
      </c>
      <c r="L247" s="860">
        <f>LOOKUP('Overflow (5)'!$C55,Cities!$A$3:$A$356,Cities!$D$3:$D$356)</f>
        <v>0</v>
      </c>
      <c r="M247" s="861">
        <f t="shared" si="41"/>
        <v>0</v>
      </c>
      <c r="O247" s="271">
        <f>LOOKUP('Overflow (5)'!$C55,Cities!$A$3:$A$356,Cities!$C$3:$C$356)</f>
        <v>0</v>
      </c>
      <c r="P247" s="857">
        <f>IF('Overflow (5)'!O55&lt;2015,'Print Return'!L$45,J247)</f>
        <v>0</v>
      </c>
      <c r="Q247" s="858">
        <f>'Overflow (5)'!$M55</f>
        <v>0</v>
      </c>
      <c r="R247" s="859">
        <f t="shared" si="42"/>
        <v>0</v>
      </c>
      <c r="S247" s="825">
        <f>'Overflow (5)'!G109</f>
        <v>0</v>
      </c>
      <c r="T247" s="826">
        <f t="shared" si="43"/>
        <v>0</v>
      </c>
      <c r="U247" s="860">
        <f>LOOKUP('Overflow (5)'!$C55,Cities!$A$3:$A$356,Cities!$D$3:$D$356)</f>
        <v>0</v>
      </c>
      <c r="V247" s="861">
        <f t="shared" si="44"/>
        <v>0</v>
      </c>
    </row>
    <row r="248" spans="1:25" x14ac:dyDescent="0.2">
      <c r="A248" s="271">
        <f>LOOKUP('Overflow (5)'!$C56,Cities!$A$3:$A$356,Cities!$C$3:$C$356)</f>
        <v>0</v>
      </c>
      <c r="B248" s="959">
        <f>'Print Return'!L$37</f>
        <v>0</v>
      </c>
      <c r="C248" s="858">
        <f>'Overflow (5)'!$M56</f>
        <v>0</v>
      </c>
      <c r="D248" s="859">
        <f t="shared" si="36"/>
        <v>0</v>
      </c>
      <c r="E248" s="825">
        <f>'Overflow (5)'!G110</f>
        <v>0</v>
      </c>
      <c r="F248" s="826">
        <f t="shared" si="37"/>
        <v>0</v>
      </c>
      <c r="G248" s="960">
        <f t="shared" si="38"/>
        <v>0</v>
      </c>
      <c r="H248" s="122">
        <f>'Print Return'!L$41</f>
        <v>0</v>
      </c>
      <c r="I248" s="293">
        <f>IF('Overflow (5)'!O56&lt;2015,MIN(G248,H248)/2,MIN(G248,H248))</f>
        <v>0</v>
      </c>
      <c r="J248" s="960">
        <f t="shared" si="39"/>
        <v>0</v>
      </c>
      <c r="K248" s="293">
        <f t="shared" si="40"/>
        <v>0</v>
      </c>
      <c r="L248" s="860">
        <f>LOOKUP('Overflow (5)'!$C56,Cities!$A$3:$A$356,Cities!$D$3:$D$356)</f>
        <v>0</v>
      </c>
      <c r="M248" s="861">
        <f t="shared" si="41"/>
        <v>0</v>
      </c>
      <c r="O248" s="271">
        <f>LOOKUP('Overflow (5)'!$C56,Cities!$A$3:$A$356,Cities!$C$3:$C$356)</f>
        <v>0</v>
      </c>
      <c r="P248" s="857">
        <f>IF('Overflow (5)'!O56&lt;2015,'Print Return'!L$45,J248)</f>
        <v>0</v>
      </c>
      <c r="Q248" s="858">
        <f>'Overflow (5)'!$M56</f>
        <v>0</v>
      </c>
      <c r="R248" s="859">
        <f t="shared" si="42"/>
        <v>0</v>
      </c>
      <c r="S248" s="825">
        <f>'Overflow (5)'!G110</f>
        <v>0</v>
      </c>
      <c r="T248" s="826">
        <f t="shared" si="43"/>
        <v>0</v>
      </c>
      <c r="U248" s="860">
        <f>LOOKUP('Overflow (5)'!$C56,Cities!$A$3:$A$356,Cities!$D$3:$D$356)</f>
        <v>0</v>
      </c>
      <c r="V248" s="861">
        <f t="shared" si="44"/>
        <v>0</v>
      </c>
    </row>
    <row r="249" spans="1:25" x14ac:dyDescent="0.2">
      <c r="A249" s="306"/>
      <c r="B249" s="16"/>
      <c r="C249" s="16"/>
      <c r="D249" s="16"/>
      <c r="E249" s="16"/>
      <c r="F249" s="16"/>
      <c r="G249" s="16"/>
      <c r="H249" s="16"/>
      <c r="I249" s="16"/>
      <c r="J249" s="16"/>
      <c r="K249" s="293"/>
      <c r="L249" s="16"/>
      <c r="M249" s="264"/>
      <c r="O249" s="306"/>
      <c r="P249" s="16"/>
      <c r="Q249" s="16"/>
      <c r="R249" s="16"/>
      <c r="S249" s="16"/>
      <c r="T249" s="16"/>
      <c r="U249" s="16"/>
      <c r="V249" s="264"/>
    </row>
    <row r="250" spans="1:25" ht="13.5" thickBot="1" x14ac:dyDescent="0.25">
      <c r="A250" s="267" t="s">
        <v>1714</v>
      </c>
      <c r="B250" s="862"/>
      <c r="C250" s="920">
        <f>SUM(C204:C248)</f>
        <v>0</v>
      </c>
      <c r="D250" s="862"/>
      <c r="E250" s="863">
        <f>SUM(E204:E248)</f>
        <v>0</v>
      </c>
      <c r="F250" s="862"/>
      <c r="G250" s="862"/>
      <c r="H250" s="862"/>
      <c r="I250" s="862"/>
      <c r="J250" s="862"/>
      <c r="K250" s="865">
        <f>SUM(K204:K248)</f>
        <v>0</v>
      </c>
      <c r="L250" s="862"/>
      <c r="M250" s="864">
        <f>ROUND(SUMIF(M204:M248,"&gt;10"),0)</f>
        <v>0</v>
      </c>
      <c r="N250" s="1"/>
      <c r="O250" s="267"/>
      <c r="P250" s="862"/>
      <c r="Q250" s="892">
        <f>SUM(Q204:Q248)</f>
        <v>0</v>
      </c>
      <c r="R250" s="862"/>
      <c r="S250" s="863">
        <f>SUM(S204:S248)</f>
        <v>0</v>
      </c>
      <c r="T250" s="865">
        <f>SUM(T204:T248)</f>
        <v>0</v>
      </c>
      <c r="U250" s="862"/>
      <c r="V250" s="864">
        <f>ROUND(SUMIF(V204:V248,"&gt; 10"),0)</f>
        <v>0</v>
      </c>
    </row>
    <row r="251" spans="1:25" ht="18.75" thickBot="1" x14ac:dyDescent="0.3">
      <c r="A251" s="923" t="s">
        <v>1758</v>
      </c>
      <c r="B251" s="253"/>
      <c r="C251" s="253"/>
      <c r="D251" s="253"/>
      <c r="E251" s="253"/>
      <c r="F251" s="253"/>
      <c r="G251" s="253"/>
      <c r="H251" s="253"/>
      <c r="I251" s="253"/>
      <c r="J251" s="253"/>
      <c r="K251" s="253"/>
      <c r="L251" s="253"/>
      <c r="M251" s="253"/>
      <c r="N251" s="16"/>
      <c r="O251" s="923" t="s">
        <v>1759</v>
      </c>
      <c r="P251" s="253"/>
      <c r="Q251" s="253"/>
      <c r="R251" s="253"/>
      <c r="S251" s="253"/>
      <c r="T251" s="253"/>
      <c r="U251" s="253"/>
      <c r="V251" s="253"/>
      <c r="W251" s="16"/>
      <c r="X251" s="16"/>
      <c r="Y251" s="16"/>
    </row>
    <row r="252" spans="1:25" ht="17.25" customHeight="1" x14ac:dyDescent="0.2">
      <c r="A252" s="1572" t="s">
        <v>166</v>
      </c>
      <c r="B252" s="1568" t="s">
        <v>1720</v>
      </c>
      <c r="C252" s="1568" t="s">
        <v>1746</v>
      </c>
      <c r="D252" s="1568" t="s">
        <v>1722</v>
      </c>
      <c r="E252" s="1568" t="s">
        <v>1723</v>
      </c>
      <c r="F252" s="1568" t="s">
        <v>1724</v>
      </c>
      <c r="G252" s="1568" t="s">
        <v>1725</v>
      </c>
      <c r="H252" s="1568" t="s">
        <v>1726</v>
      </c>
      <c r="I252" s="1568" t="s">
        <v>1727</v>
      </c>
      <c r="J252" s="1568" t="s">
        <v>1728</v>
      </c>
      <c r="K252" s="1568" t="s">
        <v>1729</v>
      </c>
      <c r="L252" s="1568" t="s">
        <v>1730</v>
      </c>
      <c r="M252" s="1570" t="s">
        <v>1731</v>
      </c>
      <c r="N252" s="922"/>
      <c r="O252" s="1572" t="s">
        <v>166</v>
      </c>
      <c r="P252" s="1568" t="s">
        <v>1747</v>
      </c>
      <c r="Q252" s="1568" t="s">
        <v>1736</v>
      </c>
      <c r="R252" s="1568" t="s">
        <v>1741</v>
      </c>
      <c r="S252" s="1568" t="s">
        <v>1699</v>
      </c>
      <c r="T252" s="1568" t="s">
        <v>1700</v>
      </c>
      <c r="U252" s="1568" t="s">
        <v>1742</v>
      </c>
      <c r="V252" s="1570" t="s">
        <v>1743</v>
      </c>
    </row>
    <row r="253" spans="1:25" ht="54" customHeight="1" thickBot="1" x14ac:dyDescent="0.25">
      <c r="A253" s="1573"/>
      <c r="B253" s="1569"/>
      <c r="C253" s="1569"/>
      <c r="D253" s="1569"/>
      <c r="E253" s="1569"/>
      <c r="F253" s="1569"/>
      <c r="G253" s="1569"/>
      <c r="H253" s="1569"/>
      <c r="I253" s="1569"/>
      <c r="J253" s="1569"/>
      <c r="K253" s="1569"/>
      <c r="L253" s="1569"/>
      <c r="M253" s="1571"/>
      <c r="N253" s="922"/>
      <c r="O253" s="1573"/>
      <c r="P253" s="1569"/>
      <c r="Q253" s="1569"/>
      <c r="R253" s="1569"/>
      <c r="S253" s="1569"/>
      <c r="T253" s="1569"/>
      <c r="U253" s="1569"/>
      <c r="V253" s="1571"/>
    </row>
    <row r="254" spans="1:25" x14ac:dyDescent="0.2">
      <c r="A254" s="271">
        <f>LOOKUP('Overflow (6)'!$C12,Cities!$A$3:$A$356,Cities!$C$3:$C$356)</f>
        <v>0</v>
      </c>
      <c r="B254" s="959">
        <f>'Print Return'!L$37</f>
        <v>0</v>
      </c>
      <c r="C254" s="858">
        <f>'Overflow (6)'!$M12</f>
        <v>0</v>
      </c>
      <c r="D254" s="859">
        <f t="shared" ref="D254:D298" si="45">B254*IF(ISNUMBER(C254)=TRUE,C254,0)</f>
        <v>0</v>
      </c>
      <c r="E254" s="825">
        <f>'Overflow (6)'!G66</f>
        <v>0</v>
      </c>
      <c r="F254" s="826">
        <f>D254-E254</f>
        <v>0</v>
      </c>
      <c r="G254" s="960">
        <f>IF(C254&gt;0,F254 / C254,0)</f>
        <v>0</v>
      </c>
      <c r="H254" s="122">
        <f>'Print Return'!L$41</f>
        <v>0</v>
      </c>
      <c r="I254" s="293">
        <f>IF('Overflow (6)'!O12&lt;2015,MIN(G254,H254)/2,MIN(G254,H254))</f>
        <v>0</v>
      </c>
      <c r="J254" s="960">
        <f>IF(G254-I254&gt;0,G254-I254,0)</f>
        <v>0</v>
      </c>
      <c r="K254" s="293">
        <f>J254*IF(C254&gt;0,C254,0)</f>
        <v>0</v>
      </c>
      <c r="L254" s="860">
        <f>LOOKUP('Overflow (6)'!$C12,Cities!$A$3:$A$356,Cities!$D$3:$D$356)</f>
        <v>0</v>
      </c>
      <c r="M254" s="861">
        <f>K254*L254</f>
        <v>0</v>
      </c>
      <c r="N254" s="1"/>
      <c r="O254" s="271">
        <f>LOOKUP('Overflow (6)'!$C12,Cities!$A$3:$A$356,Cities!$C$3:$C$356)</f>
        <v>0</v>
      </c>
      <c r="P254" s="857">
        <f>IF('Overflow (6)'!O12&lt;2015,'Print Return'!L$45,J254)</f>
        <v>0</v>
      </c>
      <c r="Q254" s="858">
        <f>'Overflow (6)'!$M12</f>
        <v>0</v>
      </c>
      <c r="R254" s="859">
        <f>P254*IF(Q254&gt;0,Q254,0)</f>
        <v>0</v>
      </c>
      <c r="S254" s="825">
        <f>'Overflow (6)'!G66</f>
        <v>0</v>
      </c>
      <c r="T254" s="826">
        <f>IF(P254&gt;0,R254-S254,0)</f>
        <v>0</v>
      </c>
      <c r="U254" s="860">
        <f>LOOKUP('Overflow (6)'!$C12,Cities!$A$3:$A$356,Cities!$D$3:$D$356)</f>
        <v>0</v>
      </c>
      <c r="V254" s="861">
        <f>T254*U254</f>
        <v>0</v>
      </c>
    </row>
    <row r="255" spans="1:25" x14ac:dyDescent="0.2">
      <c r="A255" s="271">
        <f>LOOKUP('Overflow (6)'!$C13,Cities!$A$3:$A$356,Cities!$C$3:$C$356)</f>
        <v>0</v>
      </c>
      <c r="B255" s="959">
        <f>'Print Return'!L$37</f>
        <v>0</v>
      </c>
      <c r="C255" s="858">
        <f>'Overflow (6)'!$M13</f>
        <v>0</v>
      </c>
      <c r="D255" s="859">
        <f t="shared" si="45"/>
        <v>0</v>
      </c>
      <c r="E255" s="825">
        <f>'Overflow (6)'!G67</f>
        <v>0</v>
      </c>
      <c r="F255" s="826">
        <f t="shared" ref="F255:F298" si="46">D255-E255</f>
        <v>0</v>
      </c>
      <c r="G255" s="960">
        <f t="shared" ref="G255:G298" si="47">IF(C255&gt;0,F255 / C255,0)</f>
        <v>0</v>
      </c>
      <c r="H255" s="122">
        <f>'Print Return'!L$41</f>
        <v>0</v>
      </c>
      <c r="I255" s="293">
        <f>IF('Overflow (6)'!O13&lt;2015,MIN(G255,H255)/2,MIN(G255,H255))</f>
        <v>0</v>
      </c>
      <c r="J255" s="960">
        <f t="shared" ref="J255:J298" si="48">IF(G255-I255&gt;0,G255-I255,0)</f>
        <v>0</v>
      </c>
      <c r="K255" s="293">
        <f t="shared" ref="K255:K298" si="49">J255*IF(C255&gt;0,C255,0)</f>
        <v>0</v>
      </c>
      <c r="L255" s="860">
        <f>LOOKUP('Overflow (6)'!$C13,Cities!$A$3:$A$356,Cities!$D$3:$D$356)</f>
        <v>0</v>
      </c>
      <c r="M255" s="861">
        <f t="shared" ref="M255:M298" si="50">K255*L255</f>
        <v>0</v>
      </c>
      <c r="O255" s="271">
        <f>LOOKUP('Overflow (6)'!$C13,Cities!$A$3:$A$356,Cities!$C$3:$C$356)</f>
        <v>0</v>
      </c>
      <c r="P255" s="857">
        <f>IF('Overflow (6)'!O13&lt;2015,'Print Return'!L$45,J255)</f>
        <v>0</v>
      </c>
      <c r="Q255" s="858">
        <f>'Overflow (6)'!$M13</f>
        <v>0</v>
      </c>
      <c r="R255" s="859">
        <f t="shared" ref="R255:R298" si="51">P255*IF(Q255&gt;0,Q255,0)</f>
        <v>0</v>
      </c>
      <c r="S255" s="825">
        <f>'Overflow (6)'!G67</f>
        <v>0</v>
      </c>
      <c r="T255" s="826">
        <f t="shared" ref="T255:T298" si="52">IF(P255&gt;0,R255-S255,0)</f>
        <v>0</v>
      </c>
      <c r="U255" s="860">
        <f>LOOKUP('Overflow (6)'!$C13,Cities!$A$3:$A$356,Cities!$D$3:$D$356)</f>
        <v>0</v>
      </c>
      <c r="V255" s="861">
        <f t="shared" ref="V255:V298" si="53">T255*U255</f>
        <v>0</v>
      </c>
    </row>
    <row r="256" spans="1:25" x14ac:dyDescent="0.2">
      <c r="A256" s="271">
        <f>LOOKUP('Overflow (6)'!$C14,Cities!$A$3:$A$356,Cities!$C$3:$C$356)</f>
        <v>0</v>
      </c>
      <c r="B256" s="959">
        <f>'Print Return'!L$37</f>
        <v>0</v>
      </c>
      <c r="C256" s="858">
        <f>'Overflow (6)'!$M14</f>
        <v>0</v>
      </c>
      <c r="D256" s="859">
        <f t="shared" si="45"/>
        <v>0</v>
      </c>
      <c r="E256" s="825">
        <f>'Overflow (6)'!G68</f>
        <v>0</v>
      </c>
      <c r="F256" s="826">
        <f t="shared" si="46"/>
        <v>0</v>
      </c>
      <c r="G256" s="960">
        <f t="shared" si="47"/>
        <v>0</v>
      </c>
      <c r="H256" s="122">
        <f>'Print Return'!L$41</f>
        <v>0</v>
      </c>
      <c r="I256" s="293">
        <f>IF('Overflow (6)'!O14&lt;2015,MIN(G256,H256)/2,MIN(G256,H256))</f>
        <v>0</v>
      </c>
      <c r="J256" s="960">
        <f t="shared" si="48"/>
        <v>0</v>
      </c>
      <c r="K256" s="293">
        <f t="shared" si="49"/>
        <v>0</v>
      </c>
      <c r="L256" s="860">
        <f>LOOKUP('Overflow (6)'!$C14,Cities!$A$3:$A$356,Cities!$D$3:$D$356)</f>
        <v>0</v>
      </c>
      <c r="M256" s="861">
        <f t="shared" si="50"/>
        <v>0</v>
      </c>
      <c r="O256" s="271">
        <f>LOOKUP('Overflow (6)'!$C14,Cities!$A$3:$A$356,Cities!$C$3:$C$356)</f>
        <v>0</v>
      </c>
      <c r="P256" s="857">
        <f>IF('Overflow (6)'!O14&lt;2015,'Print Return'!L$45,J256)</f>
        <v>0</v>
      </c>
      <c r="Q256" s="858">
        <f>'Overflow (6)'!$M14</f>
        <v>0</v>
      </c>
      <c r="R256" s="859">
        <f t="shared" si="51"/>
        <v>0</v>
      </c>
      <c r="S256" s="825">
        <f>'Overflow (6)'!G68</f>
        <v>0</v>
      </c>
      <c r="T256" s="826">
        <f t="shared" si="52"/>
        <v>0</v>
      </c>
      <c r="U256" s="860">
        <f>LOOKUP('Overflow (6)'!$C14,Cities!$A$3:$A$356,Cities!$D$3:$D$356)</f>
        <v>0</v>
      </c>
      <c r="V256" s="861">
        <f t="shared" si="53"/>
        <v>0</v>
      </c>
    </row>
    <row r="257" spans="1:22" x14ac:dyDescent="0.2">
      <c r="A257" s="271">
        <f>LOOKUP('Overflow (6)'!$C15,Cities!$A$3:$A$356,Cities!$C$3:$C$356)</f>
        <v>0</v>
      </c>
      <c r="B257" s="959">
        <f>'Print Return'!L$37</f>
        <v>0</v>
      </c>
      <c r="C257" s="858">
        <f>'Overflow (6)'!$M15</f>
        <v>0</v>
      </c>
      <c r="D257" s="859">
        <f t="shared" si="45"/>
        <v>0</v>
      </c>
      <c r="E257" s="825">
        <f>'Overflow (6)'!G69</f>
        <v>0</v>
      </c>
      <c r="F257" s="826">
        <f t="shared" si="46"/>
        <v>0</v>
      </c>
      <c r="G257" s="960">
        <f t="shared" si="47"/>
        <v>0</v>
      </c>
      <c r="H257" s="122">
        <f>'Print Return'!L$41</f>
        <v>0</v>
      </c>
      <c r="I257" s="293">
        <f>IF('Overflow (6)'!O15&lt;2015,MIN(G257,H257)/2,MIN(G257,H257))</f>
        <v>0</v>
      </c>
      <c r="J257" s="960">
        <f t="shared" si="48"/>
        <v>0</v>
      </c>
      <c r="K257" s="293">
        <f t="shared" si="49"/>
        <v>0</v>
      </c>
      <c r="L257" s="860">
        <f>LOOKUP('Overflow (6)'!$C15,Cities!$A$3:$A$356,Cities!$D$3:$D$356)</f>
        <v>0</v>
      </c>
      <c r="M257" s="861">
        <f t="shared" si="50"/>
        <v>0</v>
      </c>
      <c r="O257" s="271">
        <f>LOOKUP('Overflow (6)'!$C15,Cities!$A$3:$A$356,Cities!$C$3:$C$356)</f>
        <v>0</v>
      </c>
      <c r="P257" s="857">
        <f>IF('Overflow (6)'!O15&lt;2015,'Print Return'!L$45,J257)</f>
        <v>0</v>
      </c>
      <c r="Q257" s="858">
        <f>'Overflow (6)'!$M15</f>
        <v>0</v>
      </c>
      <c r="R257" s="859">
        <f t="shared" si="51"/>
        <v>0</v>
      </c>
      <c r="S257" s="825">
        <f>'Overflow (6)'!G69</f>
        <v>0</v>
      </c>
      <c r="T257" s="826">
        <f t="shared" si="52"/>
        <v>0</v>
      </c>
      <c r="U257" s="860">
        <f>LOOKUP('Overflow (6)'!$C15,Cities!$A$3:$A$356,Cities!$D$3:$D$356)</f>
        <v>0</v>
      </c>
      <c r="V257" s="861">
        <f t="shared" si="53"/>
        <v>0</v>
      </c>
    </row>
    <row r="258" spans="1:22" x14ac:dyDescent="0.2">
      <c r="A258" s="271">
        <f>LOOKUP('Overflow (6)'!$C16,Cities!$A$3:$A$356,Cities!$C$3:$C$356)</f>
        <v>0</v>
      </c>
      <c r="B258" s="959">
        <f>'Print Return'!L$37</f>
        <v>0</v>
      </c>
      <c r="C258" s="858">
        <f>'Overflow (6)'!$M16</f>
        <v>0</v>
      </c>
      <c r="D258" s="859">
        <f t="shared" si="45"/>
        <v>0</v>
      </c>
      <c r="E258" s="825">
        <f>'Overflow (6)'!G70</f>
        <v>0</v>
      </c>
      <c r="F258" s="826">
        <f t="shared" si="46"/>
        <v>0</v>
      </c>
      <c r="G258" s="960">
        <f t="shared" si="47"/>
        <v>0</v>
      </c>
      <c r="H258" s="122">
        <f>'Print Return'!L$41</f>
        <v>0</v>
      </c>
      <c r="I258" s="293">
        <f>IF('Overflow (6)'!O16&lt;2015,MIN(G258,H258)/2,MIN(G258,H258))</f>
        <v>0</v>
      </c>
      <c r="J258" s="960">
        <f t="shared" si="48"/>
        <v>0</v>
      </c>
      <c r="K258" s="293">
        <f t="shared" si="49"/>
        <v>0</v>
      </c>
      <c r="L258" s="860">
        <f>LOOKUP('Overflow (6)'!$C16,Cities!$A$3:$A$356,Cities!$D$3:$D$356)</f>
        <v>0</v>
      </c>
      <c r="M258" s="861">
        <f t="shared" si="50"/>
        <v>0</v>
      </c>
      <c r="O258" s="271">
        <f>LOOKUP('Overflow (6)'!$C16,Cities!$A$3:$A$356,Cities!$C$3:$C$356)</f>
        <v>0</v>
      </c>
      <c r="P258" s="857">
        <f>IF('Overflow (6)'!O16&lt;2015,'Print Return'!L$45,J258)</f>
        <v>0</v>
      </c>
      <c r="Q258" s="858">
        <f>'Overflow (6)'!$M16</f>
        <v>0</v>
      </c>
      <c r="R258" s="859">
        <f t="shared" si="51"/>
        <v>0</v>
      </c>
      <c r="S258" s="825">
        <f>'Overflow (6)'!G70</f>
        <v>0</v>
      </c>
      <c r="T258" s="826">
        <f t="shared" si="52"/>
        <v>0</v>
      </c>
      <c r="U258" s="860">
        <f>LOOKUP('Overflow (6)'!$C16,Cities!$A$3:$A$356,Cities!$D$3:$D$356)</f>
        <v>0</v>
      </c>
      <c r="V258" s="861">
        <f t="shared" si="53"/>
        <v>0</v>
      </c>
    </row>
    <row r="259" spans="1:22" x14ac:dyDescent="0.2">
      <c r="A259" s="271">
        <f>LOOKUP('Overflow (6)'!$C17,Cities!$A$3:$A$356,Cities!$C$3:$C$356)</f>
        <v>0</v>
      </c>
      <c r="B259" s="959">
        <f>'Print Return'!L$37</f>
        <v>0</v>
      </c>
      <c r="C259" s="858">
        <f>'Overflow (6)'!$M17</f>
        <v>0</v>
      </c>
      <c r="D259" s="859">
        <f t="shared" si="45"/>
        <v>0</v>
      </c>
      <c r="E259" s="825">
        <f>'Overflow (6)'!G71</f>
        <v>0</v>
      </c>
      <c r="F259" s="826">
        <f t="shared" si="46"/>
        <v>0</v>
      </c>
      <c r="G259" s="960">
        <f t="shared" si="47"/>
        <v>0</v>
      </c>
      <c r="H259" s="122">
        <f>'Print Return'!L$41</f>
        <v>0</v>
      </c>
      <c r="I259" s="293">
        <f>IF('Overflow (6)'!O17&lt;2015,MIN(G259,H259)/2,MIN(G259,H259))</f>
        <v>0</v>
      </c>
      <c r="J259" s="960">
        <f t="shared" si="48"/>
        <v>0</v>
      </c>
      <c r="K259" s="293">
        <f t="shared" si="49"/>
        <v>0</v>
      </c>
      <c r="L259" s="860">
        <f>LOOKUP('Overflow (6)'!$C17,Cities!$A$3:$A$356,Cities!$D$3:$D$356)</f>
        <v>0</v>
      </c>
      <c r="M259" s="861">
        <f t="shared" si="50"/>
        <v>0</v>
      </c>
      <c r="O259" s="271">
        <f>LOOKUP('Overflow (6)'!$C17,Cities!$A$3:$A$356,Cities!$C$3:$C$356)</f>
        <v>0</v>
      </c>
      <c r="P259" s="857">
        <f>IF('Overflow (6)'!O17&lt;2015,'Print Return'!L$45,J259)</f>
        <v>0</v>
      </c>
      <c r="Q259" s="858">
        <f>'Overflow (6)'!$M17</f>
        <v>0</v>
      </c>
      <c r="R259" s="859">
        <f t="shared" si="51"/>
        <v>0</v>
      </c>
      <c r="S259" s="825">
        <f>'Overflow (6)'!G71</f>
        <v>0</v>
      </c>
      <c r="T259" s="826">
        <f t="shared" si="52"/>
        <v>0</v>
      </c>
      <c r="U259" s="860">
        <f>LOOKUP('Overflow (6)'!$C17,Cities!$A$3:$A$356,Cities!$D$3:$D$356)</f>
        <v>0</v>
      </c>
      <c r="V259" s="861">
        <f t="shared" si="53"/>
        <v>0</v>
      </c>
    </row>
    <row r="260" spans="1:22" x14ac:dyDescent="0.2">
      <c r="A260" s="271">
        <f>LOOKUP('Overflow (6)'!$C18,Cities!$A$3:$A$356,Cities!$C$3:$C$356)</f>
        <v>0</v>
      </c>
      <c r="B260" s="959">
        <f>'Print Return'!L$37</f>
        <v>0</v>
      </c>
      <c r="C260" s="858">
        <f>'Overflow (6)'!$M18</f>
        <v>0</v>
      </c>
      <c r="D260" s="859">
        <f t="shared" si="45"/>
        <v>0</v>
      </c>
      <c r="E260" s="825">
        <f>'Overflow (6)'!G72</f>
        <v>0</v>
      </c>
      <c r="F260" s="826">
        <f t="shared" si="46"/>
        <v>0</v>
      </c>
      <c r="G260" s="960">
        <f t="shared" si="47"/>
        <v>0</v>
      </c>
      <c r="H260" s="122">
        <f>'Print Return'!L$41</f>
        <v>0</v>
      </c>
      <c r="I260" s="293">
        <f>IF('Overflow (6)'!O18&lt;2015,MIN(G260,H260)/2,MIN(G260,H260))</f>
        <v>0</v>
      </c>
      <c r="J260" s="960">
        <f t="shared" si="48"/>
        <v>0</v>
      </c>
      <c r="K260" s="293">
        <f t="shared" si="49"/>
        <v>0</v>
      </c>
      <c r="L260" s="860">
        <f>LOOKUP('Overflow (6)'!$C18,Cities!$A$3:$A$356,Cities!$D$3:$D$356)</f>
        <v>0</v>
      </c>
      <c r="M260" s="861">
        <f t="shared" si="50"/>
        <v>0</v>
      </c>
      <c r="O260" s="271">
        <f>LOOKUP('Overflow (6)'!$C18,Cities!$A$3:$A$356,Cities!$C$3:$C$356)</f>
        <v>0</v>
      </c>
      <c r="P260" s="857">
        <f>IF('Overflow (6)'!O18&lt;2015,'Print Return'!L$45,J260)</f>
        <v>0</v>
      </c>
      <c r="Q260" s="858">
        <f>'Overflow (6)'!$M18</f>
        <v>0</v>
      </c>
      <c r="R260" s="859">
        <f t="shared" si="51"/>
        <v>0</v>
      </c>
      <c r="S260" s="825">
        <f>'Overflow (6)'!G72</f>
        <v>0</v>
      </c>
      <c r="T260" s="826">
        <f t="shared" si="52"/>
        <v>0</v>
      </c>
      <c r="U260" s="860">
        <f>LOOKUP('Overflow (6)'!$C18,Cities!$A$3:$A$356,Cities!$D$3:$D$356)</f>
        <v>0</v>
      </c>
      <c r="V260" s="861">
        <f t="shared" si="53"/>
        <v>0</v>
      </c>
    </row>
    <row r="261" spans="1:22" x14ac:dyDescent="0.2">
      <c r="A261" s="271">
        <f>LOOKUP('Overflow (6)'!$C19,Cities!$A$3:$A$356,Cities!$C$3:$C$356)</f>
        <v>0</v>
      </c>
      <c r="B261" s="959">
        <f>'Print Return'!L$37</f>
        <v>0</v>
      </c>
      <c r="C261" s="858">
        <f>'Overflow (6)'!$M19</f>
        <v>0</v>
      </c>
      <c r="D261" s="859">
        <f t="shared" si="45"/>
        <v>0</v>
      </c>
      <c r="E261" s="825">
        <f>'Overflow (6)'!G73</f>
        <v>0</v>
      </c>
      <c r="F261" s="826">
        <f t="shared" si="46"/>
        <v>0</v>
      </c>
      <c r="G261" s="960">
        <f t="shared" si="47"/>
        <v>0</v>
      </c>
      <c r="H261" s="122">
        <f>'Print Return'!L$41</f>
        <v>0</v>
      </c>
      <c r="I261" s="293">
        <f>IF('Overflow (6)'!O19&lt;2015,MIN(G261,H261)/2,MIN(G261,H261))</f>
        <v>0</v>
      </c>
      <c r="J261" s="960">
        <f t="shared" si="48"/>
        <v>0</v>
      </c>
      <c r="K261" s="293">
        <f t="shared" si="49"/>
        <v>0</v>
      </c>
      <c r="L261" s="860">
        <f>LOOKUP('Overflow (6)'!$C19,Cities!$A$3:$A$356,Cities!$D$3:$D$356)</f>
        <v>0</v>
      </c>
      <c r="M261" s="861">
        <f t="shared" si="50"/>
        <v>0</v>
      </c>
      <c r="O261" s="271">
        <f>LOOKUP('Overflow (6)'!$C19,Cities!$A$3:$A$356,Cities!$C$3:$C$356)</f>
        <v>0</v>
      </c>
      <c r="P261" s="857">
        <f>IF('Overflow (6)'!O19&lt;2015,'Print Return'!L$45,J261)</f>
        <v>0</v>
      </c>
      <c r="Q261" s="858">
        <f>'Overflow (6)'!$M19</f>
        <v>0</v>
      </c>
      <c r="R261" s="859">
        <f t="shared" si="51"/>
        <v>0</v>
      </c>
      <c r="S261" s="825">
        <f>'Overflow (6)'!G73</f>
        <v>0</v>
      </c>
      <c r="T261" s="826">
        <f t="shared" si="52"/>
        <v>0</v>
      </c>
      <c r="U261" s="860">
        <f>LOOKUP('Overflow (6)'!$C19,Cities!$A$3:$A$356,Cities!$D$3:$D$356)</f>
        <v>0</v>
      </c>
      <c r="V261" s="861">
        <f t="shared" si="53"/>
        <v>0</v>
      </c>
    </row>
    <row r="262" spans="1:22" x14ac:dyDescent="0.2">
      <c r="A262" s="271">
        <f>LOOKUP('Overflow (6)'!$C20,Cities!$A$3:$A$356,Cities!$C$3:$C$356)</f>
        <v>0</v>
      </c>
      <c r="B262" s="959">
        <f>'Print Return'!L$37</f>
        <v>0</v>
      </c>
      <c r="C262" s="858">
        <f>'Overflow (6)'!$M20</f>
        <v>0</v>
      </c>
      <c r="D262" s="859">
        <f t="shared" si="45"/>
        <v>0</v>
      </c>
      <c r="E262" s="825">
        <f>'Overflow (6)'!G74</f>
        <v>0</v>
      </c>
      <c r="F262" s="826">
        <f t="shared" si="46"/>
        <v>0</v>
      </c>
      <c r="G262" s="960">
        <f t="shared" si="47"/>
        <v>0</v>
      </c>
      <c r="H262" s="122">
        <f>'Print Return'!L$41</f>
        <v>0</v>
      </c>
      <c r="I262" s="293">
        <f>IF('Overflow (6)'!O20&lt;2015,MIN(G262,H262)/2,MIN(G262,H262))</f>
        <v>0</v>
      </c>
      <c r="J262" s="960">
        <f t="shared" si="48"/>
        <v>0</v>
      </c>
      <c r="K262" s="293">
        <f t="shared" si="49"/>
        <v>0</v>
      </c>
      <c r="L262" s="860">
        <f>LOOKUP('Overflow (6)'!$C20,Cities!$A$3:$A$356,Cities!$D$3:$D$356)</f>
        <v>0</v>
      </c>
      <c r="M262" s="861">
        <f t="shared" si="50"/>
        <v>0</v>
      </c>
      <c r="O262" s="271">
        <f>LOOKUP('Overflow (6)'!$C20,Cities!$A$3:$A$356,Cities!$C$3:$C$356)</f>
        <v>0</v>
      </c>
      <c r="P262" s="857">
        <f>IF('Overflow (6)'!O20&lt;2015,'Print Return'!L$45,J262)</f>
        <v>0</v>
      </c>
      <c r="Q262" s="858">
        <f>'Overflow (6)'!$M20</f>
        <v>0</v>
      </c>
      <c r="R262" s="859">
        <f t="shared" si="51"/>
        <v>0</v>
      </c>
      <c r="S262" s="825">
        <f>'Overflow (6)'!G74</f>
        <v>0</v>
      </c>
      <c r="T262" s="826">
        <f t="shared" si="52"/>
        <v>0</v>
      </c>
      <c r="U262" s="860">
        <f>LOOKUP('Overflow (6)'!$C20,Cities!$A$3:$A$356,Cities!$D$3:$D$356)</f>
        <v>0</v>
      </c>
      <c r="V262" s="861">
        <f t="shared" si="53"/>
        <v>0</v>
      </c>
    </row>
    <row r="263" spans="1:22" x14ac:dyDescent="0.2">
      <c r="A263" s="271">
        <f>LOOKUP('Overflow (6)'!$C21,Cities!$A$3:$A$356,Cities!$C$3:$C$356)</f>
        <v>0</v>
      </c>
      <c r="B263" s="959">
        <f>'Print Return'!L$37</f>
        <v>0</v>
      </c>
      <c r="C263" s="858">
        <f>'Overflow (6)'!$M21</f>
        <v>0</v>
      </c>
      <c r="D263" s="859">
        <f t="shared" si="45"/>
        <v>0</v>
      </c>
      <c r="E263" s="825">
        <f>'Overflow (6)'!G75</f>
        <v>0</v>
      </c>
      <c r="F263" s="826">
        <f t="shared" si="46"/>
        <v>0</v>
      </c>
      <c r="G263" s="960">
        <f t="shared" si="47"/>
        <v>0</v>
      </c>
      <c r="H263" s="122">
        <f>'Print Return'!L$41</f>
        <v>0</v>
      </c>
      <c r="I263" s="293">
        <f>IF('Overflow (6)'!O21&lt;2015,MIN(G263,H263)/2,MIN(G263,H263))</f>
        <v>0</v>
      </c>
      <c r="J263" s="960">
        <f t="shared" si="48"/>
        <v>0</v>
      </c>
      <c r="K263" s="293">
        <f t="shared" si="49"/>
        <v>0</v>
      </c>
      <c r="L263" s="860">
        <f>LOOKUP('Overflow (6)'!$C21,Cities!$A$3:$A$356,Cities!$D$3:$D$356)</f>
        <v>0</v>
      </c>
      <c r="M263" s="861">
        <f t="shared" si="50"/>
        <v>0</v>
      </c>
      <c r="O263" s="271">
        <f>LOOKUP('Overflow (6)'!$C21,Cities!$A$3:$A$356,Cities!$C$3:$C$356)</f>
        <v>0</v>
      </c>
      <c r="P263" s="857">
        <f>IF('Overflow (6)'!O21&lt;2015,'Print Return'!L$45,J263)</f>
        <v>0</v>
      </c>
      <c r="Q263" s="858">
        <f>'Overflow (6)'!$M21</f>
        <v>0</v>
      </c>
      <c r="R263" s="859">
        <f t="shared" si="51"/>
        <v>0</v>
      </c>
      <c r="S263" s="825">
        <f>'Overflow (6)'!G75</f>
        <v>0</v>
      </c>
      <c r="T263" s="826">
        <f t="shared" si="52"/>
        <v>0</v>
      </c>
      <c r="U263" s="860">
        <f>LOOKUP('Overflow (6)'!$C21,Cities!$A$3:$A$356,Cities!$D$3:$D$356)</f>
        <v>0</v>
      </c>
      <c r="V263" s="861">
        <f t="shared" si="53"/>
        <v>0</v>
      </c>
    </row>
    <row r="264" spans="1:22" x14ac:dyDescent="0.2">
      <c r="A264" s="271">
        <f>LOOKUP('Overflow (6)'!$C22,Cities!$A$3:$A$356,Cities!$C$3:$C$356)</f>
        <v>0</v>
      </c>
      <c r="B264" s="959">
        <f>'Print Return'!L$37</f>
        <v>0</v>
      </c>
      <c r="C264" s="858">
        <f>'Overflow (6)'!$M22</f>
        <v>0</v>
      </c>
      <c r="D264" s="859">
        <f t="shared" si="45"/>
        <v>0</v>
      </c>
      <c r="E264" s="825">
        <f>'Overflow (6)'!G76</f>
        <v>0</v>
      </c>
      <c r="F264" s="826">
        <f t="shared" si="46"/>
        <v>0</v>
      </c>
      <c r="G264" s="960">
        <f t="shared" si="47"/>
        <v>0</v>
      </c>
      <c r="H264" s="122">
        <f>'Print Return'!L$41</f>
        <v>0</v>
      </c>
      <c r="I264" s="293">
        <f>IF('Overflow (6)'!O22&lt;2015,MIN(G264,H264)/2,MIN(G264,H264))</f>
        <v>0</v>
      </c>
      <c r="J264" s="960">
        <f t="shared" si="48"/>
        <v>0</v>
      </c>
      <c r="K264" s="293">
        <f t="shared" si="49"/>
        <v>0</v>
      </c>
      <c r="L264" s="860">
        <f>LOOKUP('Overflow (6)'!$C22,Cities!$A$3:$A$356,Cities!$D$3:$D$356)</f>
        <v>0</v>
      </c>
      <c r="M264" s="861">
        <f t="shared" si="50"/>
        <v>0</v>
      </c>
      <c r="O264" s="271">
        <f>LOOKUP('Overflow (6)'!$C22,Cities!$A$3:$A$356,Cities!$C$3:$C$356)</f>
        <v>0</v>
      </c>
      <c r="P264" s="857">
        <f>IF('Overflow (6)'!O22&lt;2015,'Print Return'!L$45,J264)</f>
        <v>0</v>
      </c>
      <c r="Q264" s="858">
        <f>'Overflow (6)'!$M22</f>
        <v>0</v>
      </c>
      <c r="R264" s="859">
        <f t="shared" si="51"/>
        <v>0</v>
      </c>
      <c r="S264" s="825">
        <f>'Overflow (6)'!G76</f>
        <v>0</v>
      </c>
      <c r="T264" s="826">
        <f t="shared" si="52"/>
        <v>0</v>
      </c>
      <c r="U264" s="860">
        <f>LOOKUP('Overflow (6)'!$C22,Cities!$A$3:$A$356,Cities!$D$3:$D$356)</f>
        <v>0</v>
      </c>
      <c r="V264" s="861">
        <f t="shared" si="53"/>
        <v>0</v>
      </c>
    </row>
    <row r="265" spans="1:22" x14ac:dyDescent="0.2">
      <c r="A265" s="271">
        <f>LOOKUP('Overflow (6)'!$C23,Cities!$A$3:$A$356,Cities!$C$3:$C$356)</f>
        <v>0</v>
      </c>
      <c r="B265" s="959">
        <f>'Print Return'!L$37</f>
        <v>0</v>
      </c>
      <c r="C265" s="858">
        <f>'Overflow (6)'!$M23</f>
        <v>0</v>
      </c>
      <c r="D265" s="859">
        <f t="shared" si="45"/>
        <v>0</v>
      </c>
      <c r="E265" s="825">
        <f>'Overflow (6)'!G77</f>
        <v>0</v>
      </c>
      <c r="F265" s="826">
        <f t="shared" si="46"/>
        <v>0</v>
      </c>
      <c r="G265" s="960">
        <f t="shared" si="47"/>
        <v>0</v>
      </c>
      <c r="H265" s="122">
        <f>'Print Return'!L$41</f>
        <v>0</v>
      </c>
      <c r="I265" s="293">
        <f>IF('Overflow (6)'!O23&lt;2015,MIN(G265,H265)/2,MIN(G265,H265))</f>
        <v>0</v>
      </c>
      <c r="J265" s="960">
        <f t="shared" si="48"/>
        <v>0</v>
      </c>
      <c r="K265" s="293">
        <f t="shared" si="49"/>
        <v>0</v>
      </c>
      <c r="L265" s="860">
        <f>LOOKUP('Overflow (6)'!$C23,Cities!$A$3:$A$356,Cities!$D$3:$D$356)</f>
        <v>0</v>
      </c>
      <c r="M265" s="861">
        <f t="shared" si="50"/>
        <v>0</v>
      </c>
      <c r="O265" s="271">
        <f>LOOKUP('Overflow (6)'!$C23,Cities!$A$3:$A$356,Cities!$C$3:$C$356)</f>
        <v>0</v>
      </c>
      <c r="P265" s="857">
        <f>IF('Overflow (6)'!O23&lt;2015,'Print Return'!L$45,J265)</f>
        <v>0</v>
      </c>
      <c r="Q265" s="858">
        <f>'Overflow (6)'!$M23</f>
        <v>0</v>
      </c>
      <c r="R265" s="859">
        <f t="shared" si="51"/>
        <v>0</v>
      </c>
      <c r="S265" s="825">
        <f>'Overflow (6)'!G77</f>
        <v>0</v>
      </c>
      <c r="T265" s="826">
        <f t="shared" si="52"/>
        <v>0</v>
      </c>
      <c r="U265" s="860">
        <f>LOOKUP('Overflow (6)'!$C23,Cities!$A$3:$A$356,Cities!$D$3:$D$356)</f>
        <v>0</v>
      </c>
      <c r="V265" s="861">
        <f t="shared" si="53"/>
        <v>0</v>
      </c>
    </row>
    <row r="266" spans="1:22" x14ac:dyDescent="0.2">
      <c r="A266" s="271">
        <f>LOOKUP('Overflow (6)'!$C24,Cities!$A$3:$A$356,Cities!$C$3:$C$356)</f>
        <v>0</v>
      </c>
      <c r="B266" s="959">
        <f>'Print Return'!L$37</f>
        <v>0</v>
      </c>
      <c r="C266" s="858">
        <f>'Overflow (6)'!$M24</f>
        <v>0</v>
      </c>
      <c r="D266" s="859">
        <f t="shared" si="45"/>
        <v>0</v>
      </c>
      <c r="E266" s="825">
        <f>'Overflow (6)'!G78</f>
        <v>0</v>
      </c>
      <c r="F266" s="826">
        <f t="shared" si="46"/>
        <v>0</v>
      </c>
      <c r="G266" s="960">
        <f t="shared" si="47"/>
        <v>0</v>
      </c>
      <c r="H266" s="122">
        <f>'Print Return'!L$41</f>
        <v>0</v>
      </c>
      <c r="I266" s="293">
        <f>IF('Overflow (6)'!O24&lt;2015,MIN(G266,H266)/2,MIN(G266,H266))</f>
        <v>0</v>
      </c>
      <c r="J266" s="960">
        <f t="shared" si="48"/>
        <v>0</v>
      </c>
      <c r="K266" s="293">
        <f t="shared" si="49"/>
        <v>0</v>
      </c>
      <c r="L266" s="860">
        <f>LOOKUP('Overflow (6)'!$C24,Cities!$A$3:$A$356,Cities!$D$3:$D$356)</f>
        <v>0</v>
      </c>
      <c r="M266" s="861">
        <f t="shared" si="50"/>
        <v>0</v>
      </c>
      <c r="O266" s="271">
        <f>LOOKUP('Overflow (6)'!$C24,Cities!$A$3:$A$356,Cities!$C$3:$C$356)</f>
        <v>0</v>
      </c>
      <c r="P266" s="857">
        <f>IF('Overflow (6)'!O24&lt;2015,'Print Return'!L$45,J266)</f>
        <v>0</v>
      </c>
      <c r="Q266" s="858">
        <f>'Overflow (6)'!$M24</f>
        <v>0</v>
      </c>
      <c r="R266" s="859">
        <f t="shared" si="51"/>
        <v>0</v>
      </c>
      <c r="S266" s="825">
        <f>'Overflow (6)'!G78</f>
        <v>0</v>
      </c>
      <c r="T266" s="826">
        <f t="shared" si="52"/>
        <v>0</v>
      </c>
      <c r="U266" s="860">
        <f>LOOKUP('Overflow (6)'!$C24,Cities!$A$3:$A$356,Cities!$D$3:$D$356)</f>
        <v>0</v>
      </c>
      <c r="V266" s="861">
        <f t="shared" si="53"/>
        <v>0</v>
      </c>
    </row>
    <row r="267" spans="1:22" x14ac:dyDescent="0.2">
      <c r="A267" s="271">
        <f>LOOKUP('Overflow (6)'!$C25,Cities!$A$3:$A$356,Cities!$C$3:$C$356)</f>
        <v>0</v>
      </c>
      <c r="B267" s="959">
        <f>'Print Return'!L$37</f>
        <v>0</v>
      </c>
      <c r="C267" s="858">
        <f>'Overflow (6)'!$M25</f>
        <v>0</v>
      </c>
      <c r="D267" s="859">
        <f t="shared" si="45"/>
        <v>0</v>
      </c>
      <c r="E267" s="825">
        <f>'Overflow (6)'!G79</f>
        <v>0</v>
      </c>
      <c r="F267" s="826">
        <f t="shared" si="46"/>
        <v>0</v>
      </c>
      <c r="G267" s="960">
        <f t="shared" si="47"/>
        <v>0</v>
      </c>
      <c r="H267" s="122">
        <f>'Print Return'!L$41</f>
        <v>0</v>
      </c>
      <c r="I267" s="293">
        <f>IF('Overflow (6)'!O25&lt;2015,MIN(G267,H267)/2,MIN(G267,H267))</f>
        <v>0</v>
      </c>
      <c r="J267" s="960">
        <f t="shared" si="48"/>
        <v>0</v>
      </c>
      <c r="K267" s="293">
        <f t="shared" si="49"/>
        <v>0</v>
      </c>
      <c r="L267" s="860">
        <f>LOOKUP('Overflow (6)'!$C25,Cities!$A$3:$A$356,Cities!$D$3:$D$356)</f>
        <v>0</v>
      </c>
      <c r="M267" s="861">
        <f t="shared" si="50"/>
        <v>0</v>
      </c>
      <c r="O267" s="271">
        <f>LOOKUP('Overflow (6)'!$C25,Cities!$A$3:$A$356,Cities!$C$3:$C$356)</f>
        <v>0</v>
      </c>
      <c r="P267" s="857">
        <f>IF('Overflow (6)'!O25&lt;2015,'Print Return'!L$45,J267)</f>
        <v>0</v>
      </c>
      <c r="Q267" s="858">
        <f>'Overflow (6)'!$M25</f>
        <v>0</v>
      </c>
      <c r="R267" s="859">
        <f t="shared" si="51"/>
        <v>0</v>
      </c>
      <c r="S267" s="825">
        <f>'Overflow (6)'!G79</f>
        <v>0</v>
      </c>
      <c r="T267" s="826">
        <f t="shared" si="52"/>
        <v>0</v>
      </c>
      <c r="U267" s="860">
        <f>LOOKUP('Overflow (6)'!$C25,Cities!$A$3:$A$356,Cities!$D$3:$D$356)</f>
        <v>0</v>
      </c>
      <c r="V267" s="861">
        <f t="shared" si="53"/>
        <v>0</v>
      </c>
    </row>
    <row r="268" spans="1:22" x14ac:dyDescent="0.2">
      <c r="A268" s="271">
        <f>LOOKUP('Overflow (6)'!$C26,Cities!$A$3:$A$356,Cities!$C$3:$C$356)</f>
        <v>0</v>
      </c>
      <c r="B268" s="959">
        <f>'Print Return'!L$37</f>
        <v>0</v>
      </c>
      <c r="C268" s="858">
        <f>'Overflow (6)'!$M26</f>
        <v>0</v>
      </c>
      <c r="D268" s="859">
        <f t="shared" si="45"/>
        <v>0</v>
      </c>
      <c r="E268" s="825">
        <f>'Overflow (6)'!G80</f>
        <v>0</v>
      </c>
      <c r="F268" s="826">
        <f t="shared" si="46"/>
        <v>0</v>
      </c>
      <c r="G268" s="960">
        <f t="shared" si="47"/>
        <v>0</v>
      </c>
      <c r="H268" s="122">
        <f>'Print Return'!L$41</f>
        <v>0</v>
      </c>
      <c r="I268" s="293">
        <f>IF('Overflow (6)'!O26&lt;2015,MIN(G268,H268)/2,MIN(G268,H268))</f>
        <v>0</v>
      </c>
      <c r="J268" s="960">
        <f t="shared" si="48"/>
        <v>0</v>
      </c>
      <c r="K268" s="293">
        <f t="shared" si="49"/>
        <v>0</v>
      </c>
      <c r="L268" s="860">
        <f>LOOKUP('Overflow (6)'!$C26,Cities!$A$3:$A$356,Cities!$D$3:$D$356)</f>
        <v>0</v>
      </c>
      <c r="M268" s="861">
        <f t="shared" si="50"/>
        <v>0</v>
      </c>
      <c r="O268" s="271">
        <f>LOOKUP('Overflow (6)'!$C26,Cities!$A$3:$A$356,Cities!$C$3:$C$356)</f>
        <v>0</v>
      </c>
      <c r="P268" s="857">
        <f>IF('Overflow (6)'!O26&lt;2015,'Print Return'!L$45,J268)</f>
        <v>0</v>
      </c>
      <c r="Q268" s="858">
        <f>'Overflow (6)'!$M26</f>
        <v>0</v>
      </c>
      <c r="R268" s="859">
        <f t="shared" si="51"/>
        <v>0</v>
      </c>
      <c r="S268" s="825">
        <f>'Overflow (6)'!G80</f>
        <v>0</v>
      </c>
      <c r="T268" s="826">
        <f t="shared" si="52"/>
        <v>0</v>
      </c>
      <c r="U268" s="860">
        <f>LOOKUP('Overflow (6)'!$C26,Cities!$A$3:$A$356,Cities!$D$3:$D$356)</f>
        <v>0</v>
      </c>
      <c r="V268" s="861">
        <f t="shared" si="53"/>
        <v>0</v>
      </c>
    </row>
    <row r="269" spans="1:22" x14ac:dyDescent="0.2">
      <c r="A269" s="271">
        <f>LOOKUP('Overflow (6)'!$C27,Cities!$A$3:$A$356,Cities!$C$3:$C$356)</f>
        <v>0</v>
      </c>
      <c r="B269" s="959">
        <f>'Print Return'!L$37</f>
        <v>0</v>
      </c>
      <c r="C269" s="858">
        <f>'Overflow (6)'!$M27</f>
        <v>0</v>
      </c>
      <c r="D269" s="859">
        <f t="shared" si="45"/>
        <v>0</v>
      </c>
      <c r="E269" s="825">
        <f>'Overflow (6)'!G81</f>
        <v>0</v>
      </c>
      <c r="F269" s="826">
        <f t="shared" si="46"/>
        <v>0</v>
      </c>
      <c r="G269" s="960">
        <f t="shared" si="47"/>
        <v>0</v>
      </c>
      <c r="H269" s="122">
        <f>'Print Return'!L$41</f>
        <v>0</v>
      </c>
      <c r="I269" s="293">
        <f>IF('Overflow (6)'!O27&lt;2015,MIN(G269,H269)/2,MIN(G269,H269))</f>
        <v>0</v>
      </c>
      <c r="J269" s="960">
        <f t="shared" si="48"/>
        <v>0</v>
      </c>
      <c r="K269" s="293">
        <f t="shared" si="49"/>
        <v>0</v>
      </c>
      <c r="L269" s="860">
        <f>LOOKUP('Overflow (6)'!$C27,Cities!$A$3:$A$356,Cities!$D$3:$D$356)</f>
        <v>0</v>
      </c>
      <c r="M269" s="861">
        <f t="shared" si="50"/>
        <v>0</v>
      </c>
      <c r="O269" s="271">
        <f>LOOKUP('Overflow (6)'!$C27,Cities!$A$3:$A$356,Cities!$C$3:$C$356)</f>
        <v>0</v>
      </c>
      <c r="P269" s="857">
        <f>IF('Overflow (6)'!O27&lt;2015,'Print Return'!L$45,J269)</f>
        <v>0</v>
      </c>
      <c r="Q269" s="858">
        <f>'Overflow (6)'!$M27</f>
        <v>0</v>
      </c>
      <c r="R269" s="859">
        <f t="shared" si="51"/>
        <v>0</v>
      </c>
      <c r="S269" s="825">
        <f>'Overflow (6)'!G81</f>
        <v>0</v>
      </c>
      <c r="T269" s="826">
        <f t="shared" si="52"/>
        <v>0</v>
      </c>
      <c r="U269" s="860">
        <f>LOOKUP('Overflow (6)'!$C27,Cities!$A$3:$A$356,Cities!$D$3:$D$356)</f>
        <v>0</v>
      </c>
      <c r="V269" s="861">
        <f t="shared" si="53"/>
        <v>0</v>
      </c>
    </row>
    <row r="270" spans="1:22" x14ac:dyDescent="0.2">
      <c r="A270" s="271">
        <f>LOOKUP('Overflow (6)'!$C28,Cities!$A$3:$A$356,Cities!$C$3:$C$356)</f>
        <v>0</v>
      </c>
      <c r="B270" s="959">
        <f>'Print Return'!L$37</f>
        <v>0</v>
      </c>
      <c r="C270" s="858">
        <f>'Overflow (6)'!$M28</f>
        <v>0</v>
      </c>
      <c r="D270" s="859">
        <f t="shared" si="45"/>
        <v>0</v>
      </c>
      <c r="E270" s="825">
        <f>'Overflow (6)'!G82</f>
        <v>0</v>
      </c>
      <c r="F270" s="826">
        <f t="shared" si="46"/>
        <v>0</v>
      </c>
      <c r="G270" s="960">
        <f t="shared" si="47"/>
        <v>0</v>
      </c>
      <c r="H270" s="122">
        <f>'Print Return'!L$41</f>
        <v>0</v>
      </c>
      <c r="I270" s="293">
        <f>IF('Overflow (6)'!O28&lt;2015,MIN(G270,H270)/2,MIN(G270,H270))</f>
        <v>0</v>
      </c>
      <c r="J270" s="960">
        <f t="shared" si="48"/>
        <v>0</v>
      </c>
      <c r="K270" s="293">
        <f t="shared" si="49"/>
        <v>0</v>
      </c>
      <c r="L270" s="860">
        <f>LOOKUP('Overflow (6)'!$C28,Cities!$A$3:$A$356,Cities!$D$3:$D$356)</f>
        <v>0</v>
      </c>
      <c r="M270" s="861">
        <f t="shared" si="50"/>
        <v>0</v>
      </c>
      <c r="O270" s="271">
        <f>LOOKUP('Overflow (6)'!$C28,Cities!$A$3:$A$356,Cities!$C$3:$C$356)</f>
        <v>0</v>
      </c>
      <c r="P270" s="857">
        <f>IF('Overflow (6)'!O28&lt;2015,'Print Return'!L$45,J270)</f>
        <v>0</v>
      </c>
      <c r="Q270" s="858">
        <f>'Overflow (6)'!$M28</f>
        <v>0</v>
      </c>
      <c r="R270" s="859">
        <f t="shared" si="51"/>
        <v>0</v>
      </c>
      <c r="S270" s="825">
        <f>'Overflow (6)'!G82</f>
        <v>0</v>
      </c>
      <c r="T270" s="826">
        <f t="shared" si="52"/>
        <v>0</v>
      </c>
      <c r="U270" s="860">
        <f>LOOKUP('Overflow (6)'!$C28,Cities!$A$3:$A$356,Cities!$D$3:$D$356)</f>
        <v>0</v>
      </c>
      <c r="V270" s="861">
        <f t="shared" si="53"/>
        <v>0</v>
      </c>
    </row>
    <row r="271" spans="1:22" x14ac:dyDescent="0.2">
      <c r="A271" s="271">
        <f>LOOKUP('Overflow (6)'!$C29,Cities!$A$3:$A$356,Cities!$C$3:$C$356)</f>
        <v>0</v>
      </c>
      <c r="B271" s="959">
        <f>'Print Return'!L$37</f>
        <v>0</v>
      </c>
      <c r="C271" s="858">
        <f>'Overflow (6)'!$M29</f>
        <v>0</v>
      </c>
      <c r="D271" s="859">
        <f t="shared" si="45"/>
        <v>0</v>
      </c>
      <c r="E271" s="825">
        <f>'Overflow (6)'!G83</f>
        <v>0</v>
      </c>
      <c r="F271" s="826">
        <f t="shared" si="46"/>
        <v>0</v>
      </c>
      <c r="G271" s="960">
        <f t="shared" si="47"/>
        <v>0</v>
      </c>
      <c r="H271" s="122">
        <f>'Print Return'!L$41</f>
        <v>0</v>
      </c>
      <c r="I271" s="293">
        <f>IF('Overflow (6)'!O29&lt;2015,MIN(G271,H271)/2,MIN(G271,H271))</f>
        <v>0</v>
      </c>
      <c r="J271" s="960">
        <f t="shared" si="48"/>
        <v>0</v>
      </c>
      <c r="K271" s="293">
        <f t="shared" si="49"/>
        <v>0</v>
      </c>
      <c r="L271" s="860">
        <f>LOOKUP('Overflow (6)'!$C29,Cities!$A$3:$A$356,Cities!$D$3:$D$356)</f>
        <v>0</v>
      </c>
      <c r="M271" s="861">
        <f t="shared" si="50"/>
        <v>0</v>
      </c>
      <c r="O271" s="271">
        <f>LOOKUP('Overflow (6)'!$C29,Cities!$A$3:$A$356,Cities!$C$3:$C$356)</f>
        <v>0</v>
      </c>
      <c r="P271" s="857">
        <f>IF('Overflow (6)'!O29&lt;2015,'Print Return'!L$45,J271)</f>
        <v>0</v>
      </c>
      <c r="Q271" s="858">
        <f>'Overflow (6)'!$M29</f>
        <v>0</v>
      </c>
      <c r="R271" s="859">
        <f t="shared" si="51"/>
        <v>0</v>
      </c>
      <c r="S271" s="825">
        <f>'Overflow (6)'!G83</f>
        <v>0</v>
      </c>
      <c r="T271" s="826">
        <f t="shared" si="52"/>
        <v>0</v>
      </c>
      <c r="U271" s="860">
        <f>LOOKUP('Overflow (6)'!$C29,Cities!$A$3:$A$356,Cities!$D$3:$D$356)</f>
        <v>0</v>
      </c>
      <c r="V271" s="861">
        <f t="shared" si="53"/>
        <v>0</v>
      </c>
    </row>
    <row r="272" spans="1:22" x14ac:dyDescent="0.2">
      <c r="A272" s="271">
        <f>LOOKUP('Overflow (6)'!$C30,Cities!$A$3:$A$356,Cities!$C$3:$C$356)</f>
        <v>0</v>
      </c>
      <c r="B272" s="959">
        <f>'Print Return'!L$37</f>
        <v>0</v>
      </c>
      <c r="C272" s="858">
        <f>'Overflow (6)'!$M30</f>
        <v>0</v>
      </c>
      <c r="D272" s="859">
        <f t="shared" si="45"/>
        <v>0</v>
      </c>
      <c r="E272" s="825">
        <f>'Overflow (6)'!G84</f>
        <v>0</v>
      </c>
      <c r="F272" s="826">
        <f t="shared" si="46"/>
        <v>0</v>
      </c>
      <c r="G272" s="960">
        <f t="shared" si="47"/>
        <v>0</v>
      </c>
      <c r="H272" s="122">
        <f>'Print Return'!L$41</f>
        <v>0</v>
      </c>
      <c r="I272" s="293">
        <f>IF('Overflow (6)'!O30&lt;2015,MIN(G272,H272)/2,MIN(G272,H272))</f>
        <v>0</v>
      </c>
      <c r="J272" s="960">
        <f t="shared" si="48"/>
        <v>0</v>
      </c>
      <c r="K272" s="293">
        <f t="shared" si="49"/>
        <v>0</v>
      </c>
      <c r="L272" s="860">
        <f>LOOKUP('Overflow (6)'!$C30,Cities!$A$3:$A$356,Cities!$D$3:$D$356)</f>
        <v>0</v>
      </c>
      <c r="M272" s="861">
        <f t="shared" si="50"/>
        <v>0</v>
      </c>
      <c r="O272" s="271">
        <f>LOOKUP('Overflow (6)'!$C30,Cities!$A$3:$A$356,Cities!$C$3:$C$356)</f>
        <v>0</v>
      </c>
      <c r="P272" s="857">
        <f>IF('Overflow (6)'!O30&lt;2015,'Print Return'!L$45,J272)</f>
        <v>0</v>
      </c>
      <c r="Q272" s="858">
        <f>'Overflow (6)'!$M30</f>
        <v>0</v>
      </c>
      <c r="R272" s="859">
        <f t="shared" si="51"/>
        <v>0</v>
      </c>
      <c r="S272" s="825">
        <f>'Overflow (6)'!G84</f>
        <v>0</v>
      </c>
      <c r="T272" s="826">
        <f t="shared" si="52"/>
        <v>0</v>
      </c>
      <c r="U272" s="860">
        <f>LOOKUP('Overflow (6)'!$C30,Cities!$A$3:$A$356,Cities!$D$3:$D$356)</f>
        <v>0</v>
      </c>
      <c r="V272" s="861">
        <f t="shared" si="53"/>
        <v>0</v>
      </c>
    </row>
    <row r="273" spans="1:22" x14ac:dyDescent="0.2">
      <c r="A273" s="271">
        <f>LOOKUP('Overflow (6)'!$C31,Cities!$A$3:$A$356,Cities!$C$3:$C$356)</f>
        <v>0</v>
      </c>
      <c r="B273" s="959">
        <f>'Print Return'!L$37</f>
        <v>0</v>
      </c>
      <c r="C273" s="858">
        <f>'Overflow (6)'!$M31</f>
        <v>0</v>
      </c>
      <c r="D273" s="859">
        <f t="shared" si="45"/>
        <v>0</v>
      </c>
      <c r="E273" s="825">
        <f>'Overflow (6)'!G85</f>
        <v>0</v>
      </c>
      <c r="F273" s="826">
        <f t="shared" si="46"/>
        <v>0</v>
      </c>
      <c r="G273" s="960">
        <f t="shared" si="47"/>
        <v>0</v>
      </c>
      <c r="H273" s="122">
        <f>'Print Return'!L$41</f>
        <v>0</v>
      </c>
      <c r="I273" s="293">
        <f>IF('Overflow (6)'!O31&lt;2015,MIN(G273,H273)/2,MIN(G273,H273))</f>
        <v>0</v>
      </c>
      <c r="J273" s="960">
        <f t="shared" si="48"/>
        <v>0</v>
      </c>
      <c r="K273" s="293">
        <f t="shared" si="49"/>
        <v>0</v>
      </c>
      <c r="L273" s="860">
        <f>LOOKUP('Overflow (6)'!$C31,Cities!$A$3:$A$356,Cities!$D$3:$D$356)</f>
        <v>0</v>
      </c>
      <c r="M273" s="861">
        <f t="shared" si="50"/>
        <v>0</v>
      </c>
      <c r="O273" s="271">
        <f>LOOKUP('Overflow (6)'!$C31,Cities!$A$3:$A$356,Cities!$C$3:$C$356)</f>
        <v>0</v>
      </c>
      <c r="P273" s="857">
        <f>IF('Overflow (6)'!O31&lt;2015,'Print Return'!L$45,J273)</f>
        <v>0</v>
      </c>
      <c r="Q273" s="858">
        <f>'Overflow (6)'!$M31</f>
        <v>0</v>
      </c>
      <c r="R273" s="859">
        <f t="shared" si="51"/>
        <v>0</v>
      </c>
      <c r="S273" s="825">
        <f>'Overflow (6)'!G85</f>
        <v>0</v>
      </c>
      <c r="T273" s="826">
        <f t="shared" si="52"/>
        <v>0</v>
      </c>
      <c r="U273" s="860">
        <f>LOOKUP('Overflow (6)'!$C31,Cities!$A$3:$A$356,Cities!$D$3:$D$356)</f>
        <v>0</v>
      </c>
      <c r="V273" s="861">
        <f t="shared" si="53"/>
        <v>0</v>
      </c>
    </row>
    <row r="274" spans="1:22" x14ac:dyDescent="0.2">
      <c r="A274" s="271">
        <f>LOOKUP('Overflow (6)'!$C32,Cities!$A$3:$A$356,Cities!$C$3:$C$356)</f>
        <v>0</v>
      </c>
      <c r="B274" s="959">
        <f>'Print Return'!L$37</f>
        <v>0</v>
      </c>
      <c r="C274" s="858">
        <f>'Overflow (6)'!$M32</f>
        <v>0</v>
      </c>
      <c r="D274" s="859">
        <f t="shared" si="45"/>
        <v>0</v>
      </c>
      <c r="E274" s="825">
        <f>'Overflow (6)'!G86</f>
        <v>0</v>
      </c>
      <c r="F274" s="826">
        <f t="shared" si="46"/>
        <v>0</v>
      </c>
      <c r="G274" s="960">
        <f t="shared" si="47"/>
        <v>0</v>
      </c>
      <c r="H274" s="122">
        <f>'Print Return'!L$41</f>
        <v>0</v>
      </c>
      <c r="I274" s="293">
        <f>IF('Overflow (6)'!O32&lt;2015,MIN(G274,H274)/2,MIN(G274,H274))</f>
        <v>0</v>
      </c>
      <c r="J274" s="960">
        <f t="shared" si="48"/>
        <v>0</v>
      </c>
      <c r="K274" s="293">
        <f t="shared" si="49"/>
        <v>0</v>
      </c>
      <c r="L274" s="860">
        <f>LOOKUP('Overflow (6)'!$C32,Cities!$A$3:$A$356,Cities!$D$3:$D$356)</f>
        <v>0</v>
      </c>
      <c r="M274" s="861">
        <f t="shared" si="50"/>
        <v>0</v>
      </c>
      <c r="O274" s="271">
        <f>LOOKUP('Overflow (6)'!$C32,Cities!$A$3:$A$356,Cities!$C$3:$C$356)</f>
        <v>0</v>
      </c>
      <c r="P274" s="857">
        <f>IF('Overflow (6)'!O32&lt;2015,'Print Return'!L$45,J274)</f>
        <v>0</v>
      </c>
      <c r="Q274" s="858">
        <f>'Overflow (6)'!$M32</f>
        <v>0</v>
      </c>
      <c r="R274" s="859">
        <f t="shared" si="51"/>
        <v>0</v>
      </c>
      <c r="S274" s="825">
        <f>'Overflow (6)'!G86</f>
        <v>0</v>
      </c>
      <c r="T274" s="826">
        <f t="shared" si="52"/>
        <v>0</v>
      </c>
      <c r="U274" s="860">
        <f>LOOKUP('Overflow (6)'!$C32,Cities!$A$3:$A$356,Cities!$D$3:$D$356)</f>
        <v>0</v>
      </c>
      <c r="V274" s="861">
        <f t="shared" si="53"/>
        <v>0</v>
      </c>
    </row>
    <row r="275" spans="1:22" x14ac:dyDescent="0.2">
      <c r="A275" s="271">
        <f>LOOKUP('Overflow (6)'!$C33,Cities!$A$3:$A$356,Cities!$C$3:$C$356)</f>
        <v>0</v>
      </c>
      <c r="B275" s="959">
        <f>'Print Return'!L$37</f>
        <v>0</v>
      </c>
      <c r="C275" s="858">
        <f>'Overflow (6)'!$M33</f>
        <v>0</v>
      </c>
      <c r="D275" s="859">
        <f t="shared" si="45"/>
        <v>0</v>
      </c>
      <c r="E275" s="825">
        <f>'Overflow (6)'!G87</f>
        <v>0</v>
      </c>
      <c r="F275" s="826">
        <f t="shared" si="46"/>
        <v>0</v>
      </c>
      <c r="G275" s="960">
        <f t="shared" si="47"/>
        <v>0</v>
      </c>
      <c r="H275" s="122">
        <f>'Print Return'!L$41</f>
        <v>0</v>
      </c>
      <c r="I275" s="293">
        <f>IF('Overflow (6)'!O33&lt;2015,MIN(G275,H275)/2,MIN(G275,H275))</f>
        <v>0</v>
      </c>
      <c r="J275" s="960">
        <f t="shared" si="48"/>
        <v>0</v>
      </c>
      <c r="K275" s="293">
        <f t="shared" si="49"/>
        <v>0</v>
      </c>
      <c r="L275" s="860">
        <f>LOOKUP('Overflow (6)'!$C33,Cities!$A$3:$A$356,Cities!$D$3:$D$356)</f>
        <v>0</v>
      </c>
      <c r="M275" s="861">
        <f t="shared" si="50"/>
        <v>0</v>
      </c>
      <c r="O275" s="271">
        <f>LOOKUP('Overflow (6)'!$C33,Cities!$A$3:$A$356,Cities!$C$3:$C$356)</f>
        <v>0</v>
      </c>
      <c r="P275" s="857">
        <f>IF('Overflow (6)'!O33&lt;2015,'Print Return'!L$45,J275)</f>
        <v>0</v>
      </c>
      <c r="Q275" s="858">
        <f>'Overflow (6)'!$M33</f>
        <v>0</v>
      </c>
      <c r="R275" s="859">
        <f t="shared" si="51"/>
        <v>0</v>
      </c>
      <c r="S275" s="825">
        <f>'Overflow (6)'!G87</f>
        <v>0</v>
      </c>
      <c r="T275" s="826">
        <f t="shared" si="52"/>
        <v>0</v>
      </c>
      <c r="U275" s="860">
        <f>LOOKUP('Overflow (6)'!$C33,Cities!$A$3:$A$356,Cities!$D$3:$D$356)</f>
        <v>0</v>
      </c>
      <c r="V275" s="861">
        <f t="shared" si="53"/>
        <v>0</v>
      </c>
    </row>
    <row r="276" spans="1:22" x14ac:dyDescent="0.2">
      <c r="A276" s="271">
        <f>LOOKUP('Overflow (6)'!$C34,Cities!$A$3:$A$356,Cities!$C$3:$C$356)</f>
        <v>0</v>
      </c>
      <c r="B276" s="959">
        <f>'Print Return'!L$37</f>
        <v>0</v>
      </c>
      <c r="C276" s="858">
        <f>'Overflow (6)'!$M34</f>
        <v>0</v>
      </c>
      <c r="D276" s="859">
        <f t="shared" si="45"/>
        <v>0</v>
      </c>
      <c r="E276" s="825">
        <f>'Overflow (6)'!G88</f>
        <v>0</v>
      </c>
      <c r="F276" s="826">
        <f t="shared" si="46"/>
        <v>0</v>
      </c>
      <c r="G276" s="960">
        <f t="shared" si="47"/>
        <v>0</v>
      </c>
      <c r="H276" s="122">
        <f>'Print Return'!L$41</f>
        <v>0</v>
      </c>
      <c r="I276" s="293">
        <f>IF('Overflow (6)'!O34&lt;2015,MIN(G276,H276)/2,MIN(G276,H276))</f>
        <v>0</v>
      </c>
      <c r="J276" s="960">
        <f t="shared" si="48"/>
        <v>0</v>
      </c>
      <c r="K276" s="293">
        <f t="shared" si="49"/>
        <v>0</v>
      </c>
      <c r="L276" s="860">
        <f>LOOKUP('Overflow (6)'!$C34,Cities!$A$3:$A$356,Cities!$D$3:$D$356)</f>
        <v>0</v>
      </c>
      <c r="M276" s="861">
        <f t="shared" si="50"/>
        <v>0</v>
      </c>
      <c r="O276" s="271">
        <f>LOOKUP('Overflow (6)'!$C34,Cities!$A$3:$A$356,Cities!$C$3:$C$356)</f>
        <v>0</v>
      </c>
      <c r="P276" s="857">
        <f>IF('Overflow (6)'!O34&lt;2015,'Print Return'!L$45,J276)</f>
        <v>0</v>
      </c>
      <c r="Q276" s="858">
        <f>'Overflow (6)'!$M34</f>
        <v>0</v>
      </c>
      <c r="R276" s="859">
        <f t="shared" si="51"/>
        <v>0</v>
      </c>
      <c r="S276" s="825">
        <f>'Overflow (6)'!G88</f>
        <v>0</v>
      </c>
      <c r="T276" s="826">
        <f t="shared" si="52"/>
        <v>0</v>
      </c>
      <c r="U276" s="860">
        <f>LOOKUP('Overflow (6)'!$C34,Cities!$A$3:$A$356,Cities!$D$3:$D$356)</f>
        <v>0</v>
      </c>
      <c r="V276" s="861">
        <f t="shared" si="53"/>
        <v>0</v>
      </c>
    </row>
    <row r="277" spans="1:22" x14ac:dyDescent="0.2">
      <c r="A277" s="271">
        <f>LOOKUP('Overflow (6)'!$C35,Cities!$A$3:$A$356,Cities!$C$3:$C$356)</f>
        <v>0</v>
      </c>
      <c r="B277" s="959">
        <f>'Print Return'!L$37</f>
        <v>0</v>
      </c>
      <c r="C277" s="858">
        <f>'Overflow (6)'!$M35</f>
        <v>0</v>
      </c>
      <c r="D277" s="859">
        <f t="shared" si="45"/>
        <v>0</v>
      </c>
      <c r="E277" s="825">
        <f>'Overflow (6)'!G89</f>
        <v>0</v>
      </c>
      <c r="F277" s="826">
        <f t="shared" si="46"/>
        <v>0</v>
      </c>
      <c r="G277" s="960">
        <f t="shared" si="47"/>
        <v>0</v>
      </c>
      <c r="H277" s="122">
        <f>'Print Return'!L$41</f>
        <v>0</v>
      </c>
      <c r="I277" s="293">
        <f>IF('Overflow (6)'!O35&lt;2015,MIN(G277,H277)/2,MIN(G277,H277))</f>
        <v>0</v>
      </c>
      <c r="J277" s="960">
        <f t="shared" si="48"/>
        <v>0</v>
      </c>
      <c r="K277" s="293">
        <f t="shared" si="49"/>
        <v>0</v>
      </c>
      <c r="L277" s="860">
        <f>LOOKUP('Overflow (6)'!$C35,Cities!$A$3:$A$356,Cities!$D$3:$D$356)</f>
        <v>0</v>
      </c>
      <c r="M277" s="861">
        <f t="shared" si="50"/>
        <v>0</v>
      </c>
      <c r="O277" s="271">
        <f>LOOKUP('Overflow (6)'!$C35,Cities!$A$3:$A$356,Cities!$C$3:$C$356)</f>
        <v>0</v>
      </c>
      <c r="P277" s="857">
        <f>IF('Overflow (6)'!O35&lt;2015,'Print Return'!L$45,J277)</f>
        <v>0</v>
      </c>
      <c r="Q277" s="858">
        <f>'Overflow (6)'!$M35</f>
        <v>0</v>
      </c>
      <c r="R277" s="859">
        <f t="shared" si="51"/>
        <v>0</v>
      </c>
      <c r="S277" s="825">
        <f>'Overflow (6)'!G89</f>
        <v>0</v>
      </c>
      <c r="T277" s="826">
        <f t="shared" si="52"/>
        <v>0</v>
      </c>
      <c r="U277" s="860">
        <f>LOOKUP('Overflow (6)'!$C35,Cities!$A$3:$A$356,Cities!$D$3:$D$356)</f>
        <v>0</v>
      </c>
      <c r="V277" s="861">
        <f t="shared" si="53"/>
        <v>0</v>
      </c>
    </row>
    <row r="278" spans="1:22" x14ac:dyDescent="0.2">
      <c r="A278" s="271">
        <f>LOOKUP('Overflow (6)'!$C36,Cities!$A$3:$A$356,Cities!$C$3:$C$356)</f>
        <v>0</v>
      </c>
      <c r="B278" s="959">
        <f>'Print Return'!L$37</f>
        <v>0</v>
      </c>
      <c r="C278" s="858">
        <f>'Overflow (6)'!$M36</f>
        <v>0</v>
      </c>
      <c r="D278" s="859">
        <f t="shared" si="45"/>
        <v>0</v>
      </c>
      <c r="E278" s="825">
        <f>'Overflow (6)'!G90</f>
        <v>0</v>
      </c>
      <c r="F278" s="826">
        <f t="shared" si="46"/>
        <v>0</v>
      </c>
      <c r="G278" s="960">
        <f t="shared" si="47"/>
        <v>0</v>
      </c>
      <c r="H278" s="122">
        <f>'Print Return'!L$41</f>
        <v>0</v>
      </c>
      <c r="I278" s="293">
        <f>IF('Overflow (6)'!O36&lt;2015,MIN(G278,H278)/2,MIN(G278,H278))</f>
        <v>0</v>
      </c>
      <c r="J278" s="960">
        <f t="shared" si="48"/>
        <v>0</v>
      </c>
      <c r="K278" s="293">
        <f t="shared" si="49"/>
        <v>0</v>
      </c>
      <c r="L278" s="860">
        <f>LOOKUP('Overflow (6)'!$C36,Cities!$A$3:$A$356,Cities!$D$3:$D$356)</f>
        <v>0</v>
      </c>
      <c r="M278" s="861">
        <f t="shared" si="50"/>
        <v>0</v>
      </c>
      <c r="O278" s="271">
        <f>LOOKUP('Overflow (6)'!$C36,Cities!$A$3:$A$356,Cities!$C$3:$C$356)</f>
        <v>0</v>
      </c>
      <c r="P278" s="857">
        <f>IF('Overflow (6)'!O36&lt;2015,'Print Return'!L$45,J278)</f>
        <v>0</v>
      </c>
      <c r="Q278" s="858">
        <f>'Overflow (6)'!$M36</f>
        <v>0</v>
      </c>
      <c r="R278" s="859">
        <f t="shared" si="51"/>
        <v>0</v>
      </c>
      <c r="S278" s="825">
        <f>'Overflow (6)'!G90</f>
        <v>0</v>
      </c>
      <c r="T278" s="826">
        <f t="shared" si="52"/>
        <v>0</v>
      </c>
      <c r="U278" s="860">
        <f>LOOKUP('Overflow (6)'!$C36,Cities!$A$3:$A$356,Cities!$D$3:$D$356)</f>
        <v>0</v>
      </c>
      <c r="V278" s="861">
        <f t="shared" si="53"/>
        <v>0</v>
      </c>
    </row>
    <row r="279" spans="1:22" x14ac:dyDescent="0.2">
      <c r="A279" s="271">
        <f>LOOKUP('Overflow (6)'!$C37,Cities!$A$3:$A$356,Cities!$C$3:$C$356)</f>
        <v>0</v>
      </c>
      <c r="B279" s="959">
        <f>'Print Return'!L$37</f>
        <v>0</v>
      </c>
      <c r="C279" s="858">
        <f>'Overflow (6)'!$M37</f>
        <v>0</v>
      </c>
      <c r="D279" s="859">
        <f t="shared" si="45"/>
        <v>0</v>
      </c>
      <c r="E279" s="825">
        <f>'Overflow (6)'!G91</f>
        <v>0</v>
      </c>
      <c r="F279" s="826">
        <f t="shared" si="46"/>
        <v>0</v>
      </c>
      <c r="G279" s="960">
        <f t="shared" si="47"/>
        <v>0</v>
      </c>
      <c r="H279" s="122">
        <f>'Print Return'!L$41</f>
        <v>0</v>
      </c>
      <c r="I279" s="293">
        <f>IF('Overflow (6)'!O37&lt;2015,MIN(G279,H279)/2,MIN(G279,H279))</f>
        <v>0</v>
      </c>
      <c r="J279" s="960">
        <f t="shared" si="48"/>
        <v>0</v>
      </c>
      <c r="K279" s="293">
        <f t="shared" si="49"/>
        <v>0</v>
      </c>
      <c r="L279" s="860">
        <f>LOOKUP('Overflow (6)'!$C37,Cities!$A$3:$A$356,Cities!$D$3:$D$356)</f>
        <v>0</v>
      </c>
      <c r="M279" s="861">
        <f t="shared" si="50"/>
        <v>0</v>
      </c>
      <c r="O279" s="271">
        <f>LOOKUP('Overflow (6)'!$C37,Cities!$A$3:$A$356,Cities!$C$3:$C$356)</f>
        <v>0</v>
      </c>
      <c r="P279" s="857">
        <f>IF('Overflow (6)'!O37&lt;2015,'Print Return'!L$45,J279)</f>
        <v>0</v>
      </c>
      <c r="Q279" s="858">
        <f>'Overflow (6)'!$M37</f>
        <v>0</v>
      </c>
      <c r="R279" s="859">
        <f t="shared" si="51"/>
        <v>0</v>
      </c>
      <c r="S279" s="825">
        <f>'Overflow (6)'!G91</f>
        <v>0</v>
      </c>
      <c r="T279" s="826">
        <f t="shared" si="52"/>
        <v>0</v>
      </c>
      <c r="U279" s="860">
        <f>LOOKUP('Overflow (6)'!$C37,Cities!$A$3:$A$356,Cities!$D$3:$D$356)</f>
        <v>0</v>
      </c>
      <c r="V279" s="861">
        <f t="shared" si="53"/>
        <v>0</v>
      </c>
    </row>
    <row r="280" spans="1:22" x14ac:dyDescent="0.2">
      <c r="A280" s="271">
        <f>LOOKUP('Overflow (6)'!$C38,Cities!$A$3:$A$356,Cities!$C$3:$C$356)</f>
        <v>0</v>
      </c>
      <c r="B280" s="959">
        <f>'Print Return'!L$37</f>
        <v>0</v>
      </c>
      <c r="C280" s="858">
        <f>'Overflow (6)'!$M38</f>
        <v>0</v>
      </c>
      <c r="D280" s="859">
        <f t="shared" si="45"/>
        <v>0</v>
      </c>
      <c r="E280" s="825">
        <f>'Overflow (6)'!G92</f>
        <v>0</v>
      </c>
      <c r="F280" s="826">
        <f t="shared" si="46"/>
        <v>0</v>
      </c>
      <c r="G280" s="960">
        <f t="shared" si="47"/>
        <v>0</v>
      </c>
      <c r="H280" s="122">
        <f>'Print Return'!L$41</f>
        <v>0</v>
      </c>
      <c r="I280" s="293">
        <f>IF('Overflow (6)'!O38&lt;2015,MIN(G280,H280)/2,MIN(G280,H280))</f>
        <v>0</v>
      </c>
      <c r="J280" s="960">
        <f t="shared" si="48"/>
        <v>0</v>
      </c>
      <c r="K280" s="293">
        <f t="shared" si="49"/>
        <v>0</v>
      </c>
      <c r="L280" s="860">
        <f>LOOKUP('Overflow (6)'!$C38,Cities!$A$3:$A$356,Cities!$D$3:$D$356)</f>
        <v>0</v>
      </c>
      <c r="M280" s="861">
        <f t="shared" si="50"/>
        <v>0</v>
      </c>
      <c r="O280" s="271">
        <f>LOOKUP('Overflow (6)'!$C38,Cities!$A$3:$A$356,Cities!$C$3:$C$356)</f>
        <v>0</v>
      </c>
      <c r="P280" s="857">
        <f>IF('Overflow (6)'!O38&lt;2015,'Print Return'!L$45,J280)</f>
        <v>0</v>
      </c>
      <c r="Q280" s="858">
        <f>'Overflow (6)'!$M38</f>
        <v>0</v>
      </c>
      <c r="R280" s="859">
        <f t="shared" si="51"/>
        <v>0</v>
      </c>
      <c r="S280" s="825">
        <f>'Overflow (6)'!G92</f>
        <v>0</v>
      </c>
      <c r="T280" s="826">
        <f t="shared" si="52"/>
        <v>0</v>
      </c>
      <c r="U280" s="860">
        <f>LOOKUP('Overflow (6)'!$C38,Cities!$A$3:$A$356,Cities!$D$3:$D$356)</f>
        <v>0</v>
      </c>
      <c r="V280" s="861">
        <f t="shared" si="53"/>
        <v>0</v>
      </c>
    </row>
    <row r="281" spans="1:22" x14ac:dyDescent="0.2">
      <c r="A281" s="271">
        <f>LOOKUP('Overflow (6)'!$C39,Cities!$A$3:$A$356,Cities!$C$3:$C$356)</f>
        <v>0</v>
      </c>
      <c r="B281" s="959">
        <f>'Print Return'!L$37</f>
        <v>0</v>
      </c>
      <c r="C281" s="858">
        <f>'Overflow (6)'!$M39</f>
        <v>0</v>
      </c>
      <c r="D281" s="859">
        <f t="shared" si="45"/>
        <v>0</v>
      </c>
      <c r="E281" s="825">
        <f>'Overflow (6)'!G93</f>
        <v>0</v>
      </c>
      <c r="F281" s="826">
        <f t="shared" si="46"/>
        <v>0</v>
      </c>
      <c r="G281" s="960">
        <f t="shared" si="47"/>
        <v>0</v>
      </c>
      <c r="H281" s="122">
        <f>'Print Return'!L$41</f>
        <v>0</v>
      </c>
      <c r="I281" s="293">
        <f>IF('Overflow (6)'!O39&lt;2015,MIN(G281,H281)/2,MIN(G281,H281))</f>
        <v>0</v>
      </c>
      <c r="J281" s="960">
        <f t="shared" si="48"/>
        <v>0</v>
      </c>
      <c r="K281" s="293">
        <f t="shared" si="49"/>
        <v>0</v>
      </c>
      <c r="L281" s="860">
        <f>LOOKUP('Overflow (6)'!$C39,Cities!$A$3:$A$356,Cities!$D$3:$D$356)</f>
        <v>0</v>
      </c>
      <c r="M281" s="861">
        <f t="shared" si="50"/>
        <v>0</v>
      </c>
      <c r="O281" s="271">
        <f>LOOKUP('Overflow (6)'!$C39,Cities!$A$3:$A$356,Cities!$C$3:$C$356)</f>
        <v>0</v>
      </c>
      <c r="P281" s="857">
        <f>IF('Overflow (6)'!O39&lt;2015,'Print Return'!L$45,J281)</f>
        <v>0</v>
      </c>
      <c r="Q281" s="858">
        <f>'Overflow (6)'!$M39</f>
        <v>0</v>
      </c>
      <c r="R281" s="859">
        <f t="shared" si="51"/>
        <v>0</v>
      </c>
      <c r="S281" s="825">
        <f>'Overflow (6)'!G93</f>
        <v>0</v>
      </c>
      <c r="T281" s="826">
        <f t="shared" si="52"/>
        <v>0</v>
      </c>
      <c r="U281" s="860">
        <f>LOOKUP('Overflow (6)'!$C39,Cities!$A$3:$A$356,Cities!$D$3:$D$356)</f>
        <v>0</v>
      </c>
      <c r="V281" s="861">
        <f t="shared" si="53"/>
        <v>0</v>
      </c>
    </row>
    <row r="282" spans="1:22" x14ac:dyDescent="0.2">
      <c r="A282" s="271">
        <f>LOOKUP('Overflow (6)'!$C40,Cities!$A$3:$A$356,Cities!$C$3:$C$356)</f>
        <v>0</v>
      </c>
      <c r="B282" s="959">
        <f>'Print Return'!L$37</f>
        <v>0</v>
      </c>
      <c r="C282" s="858">
        <f>'Overflow (6)'!$M40</f>
        <v>0</v>
      </c>
      <c r="D282" s="859">
        <f t="shared" si="45"/>
        <v>0</v>
      </c>
      <c r="E282" s="825">
        <f>'Overflow (6)'!G94</f>
        <v>0</v>
      </c>
      <c r="F282" s="826">
        <f t="shared" si="46"/>
        <v>0</v>
      </c>
      <c r="G282" s="960">
        <f t="shared" si="47"/>
        <v>0</v>
      </c>
      <c r="H282" s="122">
        <f>'Print Return'!L$41</f>
        <v>0</v>
      </c>
      <c r="I282" s="293">
        <f>IF('Overflow (6)'!O40&lt;2015,MIN(G282,H282)/2,MIN(G282,H282))</f>
        <v>0</v>
      </c>
      <c r="J282" s="960">
        <f t="shared" si="48"/>
        <v>0</v>
      </c>
      <c r="K282" s="293">
        <f t="shared" si="49"/>
        <v>0</v>
      </c>
      <c r="L282" s="860">
        <f>LOOKUP('Overflow (6)'!$C40,Cities!$A$3:$A$356,Cities!$D$3:$D$356)</f>
        <v>0</v>
      </c>
      <c r="M282" s="861">
        <f t="shared" si="50"/>
        <v>0</v>
      </c>
      <c r="O282" s="271">
        <f>LOOKUP('Overflow (6)'!$C40,Cities!$A$3:$A$356,Cities!$C$3:$C$356)</f>
        <v>0</v>
      </c>
      <c r="P282" s="857">
        <f>IF('Overflow (6)'!O40&lt;2015,'Print Return'!L$45,J282)</f>
        <v>0</v>
      </c>
      <c r="Q282" s="858">
        <f>'Overflow (6)'!$M40</f>
        <v>0</v>
      </c>
      <c r="R282" s="859">
        <f t="shared" si="51"/>
        <v>0</v>
      </c>
      <c r="S282" s="825">
        <f>'Overflow (6)'!G94</f>
        <v>0</v>
      </c>
      <c r="T282" s="826">
        <f t="shared" si="52"/>
        <v>0</v>
      </c>
      <c r="U282" s="860">
        <f>LOOKUP('Overflow (6)'!$C40,Cities!$A$3:$A$356,Cities!$D$3:$D$356)</f>
        <v>0</v>
      </c>
      <c r="V282" s="861">
        <f t="shared" si="53"/>
        <v>0</v>
      </c>
    </row>
    <row r="283" spans="1:22" x14ac:dyDescent="0.2">
      <c r="A283" s="271">
        <f>LOOKUP('Overflow (6)'!$C41,Cities!$A$3:$A$356,Cities!$C$3:$C$356)</f>
        <v>0</v>
      </c>
      <c r="B283" s="959">
        <f>'Print Return'!L$37</f>
        <v>0</v>
      </c>
      <c r="C283" s="858">
        <f>'Overflow (6)'!$M41</f>
        <v>0</v>
      </c>
      <c r="D283" s="859">
        <f t="shared" si="45"/>
        <v>0</v>
      </c>
      <c r="E283" s="825">
        <f>'Overflow (6)'!G95</f>
        <v>0</v>
      </c>
      <c r="F283" s="826">
        <f t="shared" si="46"/>
        <v>0</v>
      </c>
      <c r="G283" s="960">
        <f t="shared" si="47"/>
        <v>0</v>
      </c>
      <c r="H283" s="122">
        <f>'Print Return'!L$41</f>
        <v>0</v>
      </c>
      <c r="I283" s="293">
        <f>IF('Overflow (6)'!O41&lt;2015,MIN(G283,H283)/2,MIN(G283,H283))</f>
        <v>0</v>
      </c>
      <c r="J283" s="960">
        <f t="shared" si="48"/>
        <v>0</v>
      </c>
      <c r="K283" s="293">
        <f t="shared" si="49"/>
        <v>0</v>
      </c>
      <c r="L283" s="860">
        <f>LOOKUP('Overflow (6)'!$C41,Cities!$A$3:$A$356,Cities!$D$3:$D$356)</f>
        <v>0</v>
      </c>
      <c r="M283" s="861">
        <f t="shared" si="50"/>
        <v>0</v>
      </c>
      <c r="O283" s="271">
        <f>LOOKUP('Overflow (6)'!$C41,Cities!$A$3:$A$356,Cities!$C$3:$C$356)</f>
        <v>0</v>
      </c>
      <c r="P283" s="857">
        <f>IF('Overflow (6)'!O41&lt;2015,'Print Return'!L$45,J283)</f>
        <v>0</v>
      </c>
      <c r="Q283" s="858">
        <f>'Overflow (6)'!$M41</f>
        <v>0</v>
      </c>
      <c r="R283" s="859">
        <f t="shared" si="51"/>
        <v>0</v>
      </c>
      <c r="S283" s="825">
        <f>'Overflow (6)'!G95</f>
        <v>0</v>
      </c>
      <c r="T283" s="826">
        <f t="shared" si="52"/>
        <v>0</v>
      </c>
      <c r="U283" s="860">
        <f>LOOKUP('Overflow (6)'!$C41,Cities!$A$3:$A$356,Cities!$D$3:$D$356)</f>
        <v>0</v>
      </c>
      <c r="V283" s="861">
        <f t="shared" si="53"/>
        <v>0</v>
      </c>
    </row>
    <row r="284" spans="1:22" x14ac:dyDescent="0.2">
      <c r="A284" s="271">
        <f>LOOKUP('Overflow (6)'!$C42,Cities!$A$3:$A$356,Cities!$C$3:$C$356)</f>
        <v>0</v>
      </c>
      <c r="B284" s="959">
        <f>'Print Return'!L$37</f>
        <v>0</v>
      </c>
      <c r="C284" s="858">
        <f>'Overflow (6)'!$M42</f>
        <v>0</v>
      </c>
      <c r="D284" s="859">
        <f t="shared" si="45"/>
        <v>0</v>
      </c>
      <c r="E284" s="825">
        <f>'Overflow (6)'!G96</f>
        <v>0</v>
      </c>
      <c r="F284" s="826">
        <f t="shared" si="46"/>
        <v>0</v>
      </c>
      <c r="G284" s="960">
        <f t="shared" si="47"/>
        <v>0</v>
      </c>
      <c r="H284" s="122">
        <f>'Print Return'!L$41</f>
        <v>0</v>
      </c>
      <c r="I284" s="293">
        <f>IF('Overflow (6)'!O42&lt;2015,MIN(G284,H284)/2,MIN(G284,H284))</f>
        <v>0</v>
      </c>
      <c r="J284" s="960">
        <f t="shared" si="48"/>
        <v>0</v>
      </c>
      <c r="K284" s="293">
        <f t="shared" si="49"/>
        <v>0</v>
      </c>
      <c r="L284" s="860">
        <f>LOOKUP('Overflow (6)'!$C42,Cities!$A$3:$A$356,Cities!$D$3:$D$356)</f>
        <v>0</v>
      </c>
      <c r="M284" s="861">
        <f t="shared" si="50"/>
        <v>0</v>
      </c>
      <c r="O284" s="271">
        <f>LOOKUP('Overflow (6)'!$C42,Cities!$A$3:$A$356,Cities!$C$3:$C$356)</f>
        <v>0</v>
      </c>
      <c r="P284" s="857">
        <f>IF('Overflow (6)'!O42&lt;2015,'Print Return'!L$45,J284)</f>
        <v>0</v>
      </c>
      <c r="Q284" s="858">
        <f>'Overflow (6)'!$M42</f>
        <v>0</v>
      </c>
      <c r="R284" s="859">
        <f t="shared" si="51"/>
        <v>0</v>
      </c>
      <c r="S284" s="825">
        <f>'Overflow (6)'!G96</f>
        <v>0</v>
      </c>
      <c r="T284" s="826">
        <f t="shared" si="52"/>
        <v>0</v>
      </c>
      <c r="U284" s="860">
        <f>LOOKUP('Overflow (6)'!$C42,Cities!$A$3:$A$356,Cities!$D$3:$D$356)</f>
        <v>0</v>
      </c>
      <c r="V284" s="861">
        <f t="shared" si="53"/>
        <v>0</v>
      </c>
    </row>
    <row r="285" spans="1:22" x14ac:dyDescent="0.2">
      <c r="A285" s="271">
        <f>LOOKUP('Overflow (6)'!$C43,Cities!$A$3:$A$356,Cities!$C$3:$C$356)</f>
        <v>0</v>
      </c>
      <c r="B285" s="959">
        <f>'Print Return'!L$37</f>
        <v>0</v>
      </c>
      <c r="C285" s="858">
        <f>'Overflow (6)'!$M43</f>
        <v>0</v>
      </c>
      <c r="D285" s="859">
        <f t="shared" si="45"/>
        <v>0</v>
      </c>
      <c r="E285" s="825">
        <f>'Overflow (6)'!G97</f>
        <v>0</v>
      </c>
      <c r="F285" s="826">
        <f t="shared" si="46"/>
        <v>0</v>
      </c>
      <c r="G285" s="960">
        <f t="shared" si="47"/>
        <v>0</v>
      </c>
      <c r="H285" s="122">
        <f>'Print Return'!L$41</f>
        <v>0</v>
      </c>
      <c r="I285" s="293">
        <f>IF('Overflow (6)'!O43&lt;2015,MIN(G285,H285)/2,MIN(G285,H285))</f>
        <v>0</v>
      </c>
      <c r="J285" s="960">
        <f t="shared" si="48"/>
        <v>0</v>
      </c>
      <c r="K285" s="293">
        <f t="shared" si="49"/>
        <v>0</v>
      </c>
      <c r="L285" s="860">
        <f>LOOKUP('Overflow (6)'!$C43,Cities!$A$3:$A$356,Cities!$D$3:$D$356)</f>
        <v>0</v>
      </c>
      <c r="M285" s="861">
        <f t="shared" si="50"/>
        <v>0</v>
      </c>
      <c r="O285" s="271">
        <f>LOOKUP('Overflow (6)'!$C43,Cities!$A$3:$A$356,Cities!$C$3:$C$356)</f>
        <v>0</v>
      </c>
      <c r="P285" s="857">
        <f>IF('Overflow (6)'!O43&lt;2015,'Print Return'!L$45,J285)</f>
        <v>0</v>
      </c>
      <c r="Q285" s="858">
        <f>'Overflow (6)'!$M43</f>
        <v>0</v>
      </c>
      <c r="R285" s="859">
        <f t="shared" si="51"/>
        <v>0</v>
      </c>
      <c r="S285" s="825">
        <f>'Overflow (6)'!G97</f>
        <v>0</v>
      </c>
      <c r="T285" s="826">
        <f t="shared" si="52"/>
        <v>0</v>
      </c>
      <c r="U285" s="860">
        <f>LOOKUP('Overflow (6)'!$C43,Cities!$A$3:$A$356,Cities!$D$3:$D$356)</f>
        <v>0</v>
      </c>
      <c r="V285" s="861">
        <f t="shared" si="53"/>
        <v>0</v>
      </c>
    </row>
    <row r="286" spans="1:22" x14ac:dyDescent="0.2">
      <c r="A286" s="271">
        <f>LOOKUP('Overflow (6)'!$C44,Cities!$A$3:$A$356,Cities!$C$3:$C$356)</f>
        <v>0</v>
      </c>
      <c r="B286" s="959">
        <f>'Print Return'!L$37</f>
        <v>0</v>
      </c>
      <c r="C286" s="858">
        <f>'Overflow (6)'!$M44</f>
        <v>0</v>
      </c>
      <c r="D286" s="859">
        <f t="shared" si="45"/>
        <v>0</v>
      </c>
      <c r="E286" s="825">
        <f>'Overflow (6)'!G98</f>
        <v>0</v>
      </c>
      <c r="F286" s="826">
        <f t="shared" si="46"/>
        <v>0</v>
      </c>
      <c r="G286" s="960">
        <f t="shared" si="47"/>
        <v>0</v>
      </c>
      <c r="H286" s="122">
        <f>'Print Return'!L$41</f>
        <v>0</v>
      </c>
      <c r="I286" s="293">
        <f>IF('Overflow (6)'!O44&lt;2015,MIN(G286,H286)/2,MIN(G286,H286))</f>
        <v>0</v>
      </c>
      <c r="J286" s="960">
        <f t="shared" si="48"/>
        <v>0</v>
      </c>
      <c r="K286" s="293">
        <f t="shared" si="49"/>
        <v>0</v>
      </c>
      <c r="L286" s="860">
        <f>LOOKUP('Overflow (6)'!$C44,Cities!$A$3:$A$356,Cities!$D$3:$D$356)</f>
        <v>0</v>
      </c>
      <c r="M286" s="861">
        <f t="shared" si="50"/>
        <v>0</v>
      </c>
      <c r="O286" s="271">
        <f>LOOKUP('Overflow (6)'!$C44,Cities!$A$3:$A$356,Cities!$C$3:$C$356)</f>
        <v>0</v>
      </c>
      <c r="P286" s="857">
        <f>IF('Overflow (6)'!O44&lt;2015,'Print Return'!L$45,J286)</f>
        <v>0</v>
      </c>
      <c r="Q286" s="858">
        <f>'Overflow (6)'!$M44</f>
        <v>0</v>
      </c>
      <c r="R286" s="859">
        <f t="shared" si="51"/>
        <v>0</v>
      </c>
      <c r="S286" s="825">
        <f>'Overflow (6)'!G98</f>
        <v>0</v>
      </c>
      <c r="T286" s="826">
        <f t="shared" si="52"/>
        <v>0</v>
      </c>
      <c r="U286" s="860">
        <f>LOOKUP('Overflow (6)'!$C44,Cities!$A$3:$A$356,Cities!$D$3:$D$356)</f>
        <v>0</v>
      </c>
      <c r="V286" s="861">
        <f t="shared" si="53"/>
        <v>0</v>
      </c>
    </row>
    <row r="287" spans="1:22" x14ac:dyDescent="0.2">
      <c r="A287" s="271">
        <f>LOOKUP('Overflow (6)'!$C45,Cities!$A$3:$A$356,Cities!$C$3:$C$356)</f>
        <v>0</v>
      </c>
      <c r="B287" s="959">
        <f>'Print Return'!L$37</f>
        <v>0</v>
      </c>
      <c r="C287" s="858">
        <f>'Overflow (6)'!$M45</f>
        <v>0</v>
      </c>
      <c r="D287" s="859">
        <f t="shared" si="45"/>
        <v>0</v>
      </c>
      <c r="E287" s="825">
        <f>'Overflow (6)'!G99</f>
        <v>0</v>
      </c>
      <c r="F287" s="826">
        <f t="shared" si="46"/>
        <v>0</v>
      </c>
      <c r="G287" s="960">
        <f t="shared" si="47"/>
        <v>0</v>
      </c>
      <c r="H287" s="122">
        <f>'Print Return'!L$41</f>
        <v>0</v>
      </c>
      <c r="I287" s="293">
        <f>IF('Overflow (6)'!O45&lt;2015,MIN(G287,H287)/2,MIN(G287,H287))</f>
        <v>0</v>
      </c>
      <c r="J287" s="960">
        <f t="shared" si="48"/>
        <v>0</v>
      </c>
      <c r="K287" s="293">
        <f t="shared" si="49"/>
        <v>0</v>
      </c>
      <c r="L287" s="860">
        <f>LOOKUP('Overflow (6)'!$C45,Cities!$A$3:$A$356,Cities!$D$3:$D$356)</f>
        <v>0</v>
      </c>
      <c r="M287" s="861">
        <f t="shared" si="50"/>
        <v>0</v>
      </c>
      <c r="O287" s="271">
        <f>LOOKUP('Overflow (6)'!$C45,Cities!$A$3:$A$356,Cities!$C$3:$C$356)</f>
        <v>0</v>
      </c>
      <c r="P287" s="857">
        <f>IF('Overflow (6)'!O45&lt;2015,'Print Return'!L$45,J287)</f>
        <v>0</v>
      </c>
      <c r="Q287" s="858">
        <f>'Overflow (6)'!$M45</f>
        <v>0</v>
      </c>
      <c r="R287" s="859">
        <f t="shared" si="51"/>
        <v>0</v>
      </c>
      <c r="S287" s="825">
        <f>'Overflow (6)'!G99</f>
        <v>0</v>
      </c>
      <c r="T287" s="826">
        <f t="shared" si="52"/>
        <v>0</v>
      </c>
      <c r="U287" s="860">
        <f>LOOKUP('Overflow (6)'!$C45,Cities!$A$3:$A$356,Cities!$D$3:$D$356)</f>
        <v>0</v>
      </c>
      <c r="V287" s="861">
        <f t="shared" si="53"/>
        <v>0</v>
      </c>
    </row>
    <row r="288" spans="1:22" x14ac:dyDescent="0.2">
      <c r="A288" s="271">
        <f>LOOKUP('Overflow (6)'!$C46,Cities!$A$3:$A$356,Cities!$C$3:$C$356)</f>
        <v>0</v>
      </c>
      <c r="B288" s="959">
        <f>'Print Return'!L$37</f>
        <v>0</v>
      </c>
      <c r="C288" s="858">
        <f>'Overflow (6)'!$M46</f>
        <v>0</v>
      </c>
      <c r="D288" s="859">
        <f t="shared" si="45"/>
        <v>0</v>
      </c>
      <c r="E288" s="825">
        <f>'Overflow (6)'!G100</f>
        <v>0</v>
      </c>
      <c r="F288" s="826">
        <f t="shared" si="46"/>
        <v>0</v>
      </c>
      <c r="G288" s="960">
        <f t="shared" si="47"/>
        <v>0</v>
      </c>
      <c r="H288" s="122">
        <f>'Print Return'!L$41</f>
        <v>0</v>
      </c>
      <c r="I288" s="293">
        <f>IF('Overflow (6)'!O46&lt;2015,MIN(G288,H288)/2,MIN(G288,H288))</f>
        <v>0</v>
      </c>
      <c r="J288" s="960">
        <f t="shared" si="48"/>
        <v>0</v>
      </c>
      <c r="K288" s="293">
        <f t="shared" si="49"/>
        <v>0</v>
      </c>
      <c r="L288" s="860">
        <f>LOOKUP('Overflow (6)'!$C46,Cities!$A$3:$A$356,Cities!$D$3:$D$356)</f>
        <v>0</v>
      </c>
      <c r="M288" s="861">
        <f t="shared" si="50"/>
        <v>0</v>
      </c>
      <c r="O288" s="271">
        <f>LOOKUP('Overflow (6)'!$C46,Cities!$A$3:$A$356,Cities!$C$3:$C$356)</f>
        <v>0</v>
      </c>
      <c r="P288" s="857">
        <f>IF('Overflow (6)'!O46&lt;2015,'Print Return'!L$45,J288)</f>
        <v>0</v>
      </c>
      <c r="Q288" s="858">
        <f>'Overflow (6)'!$M46</f>
        <v>0</v>
      </c>
      <c r="R288" s="859">
        <f t="shared" si="51"/>
        <v>0</v>
      </c>
      <c r="S288" s="825">
        <f>'Overflow (6)'!G100</f>
        <v>0</v>
      </c>
      <c r="T288" s="826">
        <f t="shared" si="52"/>
        <v>0</v>
      </c>
      <c r="U288" s="860">
        <f>LOOKUP('Overflow (6)'!$C46,Cities!$A$3:$A$356,Cities!$D$3:$D$356)</f>
        <v>0</v>
      </c>
      <c r="V288" s="861">
        <f t="shared" si="53"/>
        <v>0</v>
      </c>
    </row>
    <row r="289" spans="1:25" x14ac:dyDescent="0.2">
      <c r="A289" s="271">
        <f>LOOKUP('Overflow (6)'!$C47,Cities!$A$3:$A$356,Cities!$C$3:$C$356)</f>
        <v>0</v>
      </c>
      <c r="B289" s="959">
        <f>'Print Return'!L$37</f>
        <v>0</v>
      </c>
      <c r="C289" s="858">
        <f>'Overflow (6)'!$M47</f>
        <v>0</v>
      </c>
      <c r="D289" s="859">
        <f t="shared" si="45"/>
        <v>0</v>
      </c>
      <c r="E289" s="825">
        <f>'Overflow (6)'!G101</f>
        <v>0</v>
      </c>
      <c r="F289" s="826">
        <f t="shared" si="46"/>
        <v>0</v>
      </c>
      <c r="G289" s="960">
        <f t="shared" si="47"/>
        <v>0</v>
      </c>
      <c r="H289" s="122">
        <f>'Print Return'!L$41</f>
        <v>0</v>
      </c>
      <c r="I289" s="293">
        <f>IF('Overflow (6)'!O47&lt;2015,MIN(G289,H289)/2,MIN(G289,H289))</f>
        <v>0</v>
      </c>
      <c r="J289" s="960">
        <f t="shared" si="48"/>
        <v>0</v>
      </c>
      <c r="K289" s="293">
        <f t="shared" si="49"/>
        <v>0</v>
      </c>
      <c r="L289" s="860">
        <f>LOOKUP('Overflow (6)'!$C47,Cities!$A$3:$A$356,Cities!$D$3:$D$356)</f>
        <v>0</v>
      </c>
      <c r="M289" s="861">
        <f t="shared" si="50"/>
        <v>0</v>
      </c>
      <c r="O289" s="271">
        <f>LOOKUP('Overflow (6)'!$C47,Cities!$A$3:$A$356,Cities!$C$3:$C$356)</f>
        <v>0</v>
      </c>
      <c r="P289" s="857">
        <f>IF('Overflow (6)'!O47&lt;2015,'Print Return'!L$45,J289)</f>
        <v>0</v>
      </c>
      <c r="Q289" s="858">
        <f>'Overflow (6)'!$M47</f>
        <v>0</v>
      </c>
      <c r="R289" s="859">
        <f t="shared" si="51"/>
        <v>0</v>
      </c>
      <c r="S289" s="825">
        <f>'Overflow (6)'!G101</f>
        <v>0</v>
      </c>
      <c r="T289" s="826">
        <f t="shared" si="52"/>
        <v>0</v>
      </c>
      <c r="U289" s="860">
        <f>LOOKUP('Overflow (6)'!$C47,Cities!$A$3:$A$356,Cities!$D$3:$D$356)</f>
        <v>0</v>
      </c>
      <c r="V289" s="861">
        <f t="shared" si="53"/>
        <v>0</v>
      </c>
    </row>
    <row r="290" spans="1:25" x14ac:dyDescent="0.2">
      <c r="A290" s="271">
        <f>LOOKUP('Overflow (6)'!$C48,Cities!$A$3:$A$356,Cities!$C$3:$C$356)</f>
        <v>0</v>
      </c>
      <c r="B290" s="959">
        <f>'Print Return'!L$37</f>
        <v>0</v>
      </c>
      <c r="C290" s="858">
        <f>'Overflow (6)'!$M48</f>
        <v>0</v>
      </c>
      <c r="D290" s="859">
        <f t="shared" si="45"/>
        <v>0</v>
      </c>
      <c r="E290" s="825">
        <f>'Overflow (6)'!G102</f>
        <v>0</v>
      </c>
      <c r="F290" s="826">
        <f t="shared" si="46"/>
        <v>0</v>
      </c>
      <c r="G290" s="960">
        <f t="shared" si="47"/>
        <v>0</v>
      </c>
      <c r="H290" s="122">
        <f>'Print Return'!L$41</f>
        <v>0</v>
      </c>
      <c r="I290" s="293">
        <f>IF('Overflow (6)'!O48&lt;2015,MIN(G290,H290)/2,MIN(G290,H290))</f>
        <v>0</v>
      </c>
      <c r="J290" s="960">
        <f t="shared" si="48"/>
        <v>0</v>
      </c>
      <c r="K290" s="293">
        <f t="shared" si="49"/>
        <v>0</v>
      </c>
      <c r="L290" s="860">
        <f>LOOKUP('Overflow (6)'!$C48,Cities!$A$3:$A$356,Cities!$D$3:$D$356)</f>
        <v>0</v>
      </c>
      <c r="M290" s="861">
        <f t="shared" si="50"/>
        <v>0</v>
      </c>
      <c r="O290" s="271">
        <f>LOOKUP('Overflow (6)'!$C48,Cities!$A$3:$A$356,Cities!$C$3:$C$356)</f>
        <v>0</v>
      </c>
      <c r="P290" s="857">
        <f>IF('Overflow (6)'!O48&lt;2015,'Print Return'!L$45,J290)</f>
        <v>0</v>
      </c>
      <c r="Q290" s="858">
        <f>'Overflow (6)'!$M48</f>
        <v>0</v>
      </c>
      <c r="R290" s="859">
        <f t="shared" si="51"/>
        <v>0</v>
      </c>
      <c r="S290" s="825">
        <f>'Overflow (6)'!G102</f>
        <v>0</v>
      </c>
      <c r="T290" s="826">
        <f t="shared" si="52"/>
        <v>0</v>
      </c>
      <c r="U290" s="860">
        <f>LOOKUP('Overflow (6)'!$C48,Cities!$A$3:$A$356,Cities!$D$3:$D$356)</f>
        <v>0</v>
      </c>
      <c r="V290" s="861">
        <f t="shared" si="53"/>
        <v>0</v>
      </c>
    </row>
    <row r="291" spans="1:25" x14ac:dyDescent="0.2">
      <c r="A291" s="271">
        <f>LOOKUP('Overflow (6)'!$C49,Cities!$A$3:$A$356,Cities!$C$3:$C$356)</f>
        <v>0</v>
      </c>
      <c r="B291" s="959">
        <f>'Print Return'!L$37</f>
        <v>0</v>
      </c>
      <c r="C291" s="858">
        <f>'Overflow (6)'!$M49</f>
        <v>0</v>
      </c>
      <c r="D291" s="859">
        <f t="shared" si="45"/>
        <v>0</v>
      </c>
      <c r="E291" s="825">
        <f>'Overflow (6)'!G103</f>
        <v>0</v>
      </c>
      <c r="F291" s="826">
        <f t="shared" si="46"/>
        <v>0</v>
      </c>
      <c r="G291" s="960">
        <f t="shared" si="47"/>
        <v>0</v>
      </c>
      <c r="H291" s="122">
        <f>'Print Return'!L$41</f>
        <v>0</v>
      </c>
      <c r="I291" s="293">
        <f>IF('Overflow (6)'!O49&lt;2015,MIN(G291,H291)/2,MIN(G291,H291))</f>
        <v>0</v>
      </c>
      <c r="J291" s="960">
        <f t="shared" si="48"/>
        <v>0</v>
      </c>
      <c r="K291" s="293">
        <f t="shared" si="49"/>
        <v>0</v>
      </c>
      <c r="L291" s="860">
        <f>LOOKUP('Overflow (6)'!$C49,Cities!$A$3:$A$356,Cities!$D$3:$D$356)</f>
        <v>0</v>
      </c>
      <c r="M291" s="861">
        <f t="shared" si="50"/>
        <v>0</v>
      </c>
      <c r="O291" s="271">
        <f>LOOKUP('Overflow (6)'!$C49,Cities!$A$3:$A$356,Cities!$C$3:$C$356)</f>
        <v>0</v>
      </c>
      <c r="P291" s="857">
        <f>IF('Overflow (6)'!O49&lt;2015,'Print Return'!L$45,J291)</f>
        <v>0</v>
      </c>
      <c r="Q291" s="858">
        <f>'Overflow (6)'!$M49</f>
        <v>0</v>
      </c>
      <c r="R291" s="859">
        <f t="shared" si="51"/>
        <v>0</v>
      </c>
      <c r="S291" s="825">
        <f>'Overflow (6)'!G103</f>
        <v>0</v>
      </c>
      <c r="T291" s="826">
        <f t="shared" si="52"/>
        <v>0</v>
      </c>
      <c r="U291" s="860">
        <f>LOOKUP('Overflow (6)'!$C49,Cities!$A$3:$A$356,Cities!$D$3:$D$356)</f>
        <v>0</v>
      </c>
      <c r="V291" s="861">
        <f t="shared" si="53"/>
        <v>0</v>
      </c>
    </row>
    <row r="292" spans="1:25" x14ac:dyDescent="0.2">
      <c r="A292" s="271">
        <f>LOOKUP('Overflow (6)'!$C50,Cities!$A$3:$A$356,Cities!$C$3:$C$356)</f>
        <v>0</v>
      </c>
      <c r="B292" s="959">
        <f>'Print Return'!L$37</f>
        <v>0</v>
      </c>
      <c r="C292" s="858">
        <f>'Overflow (6)'!$M50</f>
        <v>0</v>
      </c>
      <c r="D292" s="859">
        <f t="shared" si="45"/>
        <v>0</v>
      </c>
      <c r="E292" s="825">
        <f>'Overflow (6)'!G104</f>
        <v>0</v>
      </c>
      <c r="F292" s="826">
        <f t="shared" si="46"/>
        <v>0</v>
      </c>
      <c r="G292" s="960">
        <f t="shared" si="47"/>
        <v>0</v>
      </c>
      <c r="H292" s="122">
        <f>'Print Return'!L$41</f>
        <v>0</v>
      </c>
      <c r="I292" s="293">
        <f>IF('Overflow (6)'!O50&lt;2015,MIN(G292,H292)/2,MIN(G292,H292))</f>
        <v>0</v>
      </c>
      <c r="J292" s="960">
        <f t="shared" si="48"/>
        <v>0</v>
      </c>
      <c r="K292" s="293">
        <f t="shared" si="49"/>
        <v>0</v>
      </c>
      <c r="L292" s="860">
        <f>LOOKUP('Overflow (6)'!$C50,Cities!$A$3:$A$356,Cities!$D$3:$D$356)</f>
        <v>0</v>
      </c>
      <c r="M292" s="861">
        <f t="shared" si="50"/>
        <v>0</v>
      </c>
      <c r="O292" s="271">
        <f>LOOKUP('Overflow (6)'!$C50,Cities!$A$3:$A$356,Cities!$C$3:$C$356)</f>
        <v>0</v>
      </c>
      <c r="P292" s="857">
        <f>IF('Overflow (6)'!O50&lt;2015,'Print Return'!L$45,J292)</f>
        <v>0</v>
      </c>
      <c r="Q292" s="858">
        <f>'Overflow (6)'!$M50</f>
        <v>0</v>
      </c>
      <c r="R292" s="859">
        <f t="shared" si="51"/>
        <v>0</v>
      </c>
      <c r="S292" s="825">
        <f>'Overflow (6)'!G104</f>
        <v>0</v>
      </c>
      <c r="T292" s="826">
        <f t="shared" si="52"/>
        <v>0</v>
      </c>
      <c r="U292" s="860">
        <f>LOOKUP('Overflow (6)'!$C50,Cities!$A$3:$A$356,Cities!$D$3:$D$356)</f>
        <v>0</v>
      </c>
      <c r="V292" s="861">
        <f t="shared" si="53"/>
        <v>0</v>
      </c>
    </row>
    <row r="293" spans="1:25" x14ac:dyDescent="0.2">
      <c r="A293" s="271">
        <f>LOOKUP('Overflow (6)'!$C51,Cities!$A$3:$A$356,Cities!$C$3:$C$356)</f>
        <v>0</v>
      </c>
      <c r="B293" s="959">
        <f>'Print Return'!L$37</f>
        <v>0</v>
      </c>
      <c r="C293" s="858">
        <f>'Overflow (6)'!$M51</f>
        <v>0</v>
      </c>
      <c r="D293" s="859">
        <f t="shared" si="45"/>
        <v>0</v>
      </c>
      <c r="E293" s="825">
        <f>'Overflow (6)'!G105</f>
        <v>0</v>
      </c>
      <c r="F293" s="826">
        <f t="shared" si="46"/>
        <v>0</v>
      </c>
      <c r="G293" s="960">
        <f t="shared" si="47"/>
        <v>0</v>
      </c>
      <c r="H293" s="122">
        <f>'Print Return'!L$41</f>
        <v>0</v>
      </c>
      <c r="I293" s="293">
        <f>IF('Overflow (6)'!O51&lt;2015,MIN(G293,H293)/2,MIN(G293,H293))</f>
        <v>0</v>
      </c>
      <c r="J293" s="960">
        <f t="shared" si="48"/>
        <v>0</v>
      </c>
      <c r="K293" s="293">
        <f t="shared" si="49"/>
        <v>0</v>
      </c>
      <c r="L293" s="860">
        <f>LOOKUP('Overflow (6)'!$C51,Cities!$A$3:$A$356,Cities!$D$3:$D$356)</f>
        <v>0</v>
      </c>
      <c r="M293" s="861">
        <f t="shared" si="50"/>
        <v>0</v>
      </c>
      <c r="O293" s="271">
        <f>LOOKUP('Overflow (6)'!$C51,Cities!$A$3:$A$356,Cities!$C$3:$C$356)</f>
        <v>0</v>
      </c>
      <c r="P293" s="857">
        <f>IF('Overflow (6)'!O51&lt;2015,'Print Return'!L$45,J293)</f>
        <v>0</v>
      </c>
      <c r="Q293" s="858">
        <f>'Overflow (6)'!$M51</f>
        <v>0</v>
      </c>
      <c r="R293" s="859">
        <f t="shared" si="51"/>
        <v>0</v>
      </c>
      <c r="S293" s="825">
        <f>'Overflow (6)'!G105</f>
        <v>0</v>
      </c>
      <c r="T293" s="826">
        <f t="shared" si="52"/>
        <v>0</v>
      </c>
      <c r="U293" s="860">
        <f>LOOKUP('Overflow (6)'!$C51,Cities!$A$3:$A$356,Cities!$D$3:$D$356)</f>
        <v>0</v>
      </c>
      <c r="V293" s="861">
        <f t="shared" si="53"/>
        <v>0</v>
      </c>
    </row>
    <row r="294" spans="1:25" x14ac:dyDescent="0.2">
      <c r="A294" s="271">
        <f>LOOKUP('Overflow (6)'!$C52,Cities!$A$3:$A$356,Cities!$C$3:$C$356)</f>
        <v>0</v>
      </c>
      <c r="B294" s="959">
        <f>'Print Return'!L$37</f>
        <v>0</v>
      </c>
      <c r="C294" s="858">
        <f>'Overflow (6)'!$M52</f>
        <v>0</v>
      </c>
      <c r="D294" s="859">
        <f t="shared" si="45"/>
        <v>0</v>
      </c>
      <c r="E294" s="825">
        <f>'Overflow (6)'!G106</f>
        <v>0</v>
      </c>
      <c r="F294" s="826">
        <f t="shared" si="46"/>
        <v>0</v>
      </c>
      <c r="G294" s="960">
        <f t="shared" si="47"/>
        <v>0</v>
      </c>
      <c r="H294" s="122">
        <f>'Print Return'!L$41</f>
        <v>0</v>
      </c>
      <c r="I294" s="293">
        <f>IF('Overflow (6)'!O52&lt;2015,MIN(G294,H294)/2,MIN(G294,H294))</f>
        <v>0</v>
      </c>
      <c r="J294" s="960">
        <f t="shared" si="48"/>
        <v>0</v>
      </c>
      <c r="K294" s="293">
        <f t="shared" si="49"/>
        <v>0</v>
      </c>
      <c r="L294" s="860">
        <f>LOOKUP('Overflow (6)'!$C52,Cities!$A$3:$A$356,Cities!$D$3:$D$356)</f>
        <v>0</v>
      </c>
      <c r="M294" s="861">
        <f t="shared" si="50"/>
        <v>0</v>
      </c>
      <c r="O294" s="271">
        <f>LOOKUP('Overflow (6)'!$C52,Cities!$A$3:$A$356,Cities!$C$3:$C$356)</f>
        <v>0</v>
      </c>
      <c r="P294" s="857">
        <f>IF('Overflow (6)'!O52&lt;2015,'Print Return'!L$45,J294)</f>
        <v>0</v>
      </c>
      <c r="Q294" s="858">
        <f>'Overflow (6)'!$M52</f>
        <v>0</v>
      </c>
      <c r="R294" s="859">
        <f t="shared" si="51"/>
        <v>0</v>
      </c>
      <c r="S294" s="825">
        <f>'Overflow (6)'!G106</f>
        <v>0</v>
      </c>
      <c r="T294" s="826">
        <f t="shared" si="52"/>
        <v>0</v>
      </c>
      <c r="U294" s="860">
        <f>LOOKUP('Overflow (6)'!$C52,Cities!$A$3:$A$356,Cities!$D$3:$D$356)</f>
        <v>0</v>
      </c>
      <c r="V294" s="861">
        <f t="shared" si="53"/>
        <v>0</v>
      </c>
    </row>
    <row r="295" spans="1:25" x14ac:dyDescent="0.2">
      <c r="A295" s="271">
        <f>LOOKUP('Overflow (6)'!$C53,Cities!$A$3:$A$356,Cities!$C$3:$C$356)</f>
        <v>0</v>
      </c>
      <c r="B295" s="959">
        <f>'Print Return'!L$37</f>
        <v>0</v>
      </c>
      <c r="C295" s="858">
        <f>'Overflow (6)'!$M53</f>
        <v>0</v>
      </c>
      <c r="D295" s="859">
        <f t="shared" si="45"/>
        <v>0</v>
      </c>
      <c r="E295" s="825">
        <f>'Overflow (6)'!G107</f>
        <v>0</v>
      </c>
      <c r="F295" s="826">
        <f t="shared" si="46"/>
        <v>0</v>
      </c>
      <c r="G295" s="960">
        <f t="shared" si="47"/>
        <v>0</v>
      </c>
      <c r="H295" s="122">
        <f>'Print Return'!L$41</f>
        <v>0</v>
      </c>
      <c r="I295" s="293">
        <f>IF('Overflow (6)'!O53&lt;2015,MIN(G295,H295)/2,MIN(G295,H295))</f>
        <v>0</v>
      </c>
      <c r="J295" s="960">
        <f t="shared" si="48"/>
        <v>0</v>
      </c>
      <c r="K295" s="293">
        <f t="shared" si="49"/>
        <v>0</v>
      </c>
      <c r="L295" s="860">
        <f>LOOKUP('Overflow (6)'!$C53,Cities!$A$3:$A$356,Cities!$D$3:$D$356)</f>
        <v>0</v>
      </c>
      <c r="M295" s="861">
        <f t="shared" si="50"/>
        <v>0</v>
      </c>
      <c r="O295" s="271">
        <f>LOOKUP('Overflow (6)'!$C53,Cities!$A$3:$A$356,Cities!$C$3:$C$356)</f>
        <v>0</v>
      </c>
      <c r="P295" s="857">
        <f>IF('Overflow (6)'!O53&lt;2015,'Print Return'!L$45,J295)</f>
        <v>0</v>
      </c>
      <c r="Q295" s="858">
        <f>'Overflow (6)'!$M53</f>
        <v>0</v>
      </c>
      <c r="R295" s="859">
        <f t="shared" si="51"/>
        <v>0</v>
      </c>
      <c r="S295" s="825">
        <f>'Overflow (6)'!G107</f>
        <v>0</v>
      </c>
      <c r="T295" s="826">
        <f t="shared" si="52"/>
        <v>0</v>
      </c>
      <c r="U295" s="860">
        <f>LOOKUP('Overflow (6)'!$C53,Cities!$A$3:$A$356,Cities!$D$3:$D$356)</f>
        <v>0</v>
      </c>
      <c r="V295" s="861">
        <f t="shared" si="53"/>
        <v>0</v>
      </c>
    </row>
    <row r="296" spans="1:25" x14ac:dyDescent="0.2">
      <c r="A296" s="271">
        <f>LOOKUP('Overflow (6)'!$C54,Cities!$A$3:$A$356,Cities!$C$3:$C$356)</f>
        <v>0</v>
      </c>
      <c r="B296" s="959">
        <f>'Print Return'!L$37</f>
        <v>0</v>
      </c>
      <c r="C296" s="858">
        <f>'Overflow (6)'!$M54</f>
        <v>0</v>
      </c>
      <c r="D296" s="859">
        <f t="shared" si="45"/>
        <v>0</v>
      </c>
      <c r="E296" s="825">
        <f>'Overflow (6)'!G108</f>
        <v>0</v>
      </c>
      <c r="F296" s="826">
        <f t="shared" si="46"/>
        <v>0</v>
      </c>
      <c r="G296" s="960">
        <f t="shared" si="47"/>
        <v>0</v>
      </c>
      <c r="H296" s="122">
        <f>'Print Return'!L$41</f>
        <v>0</v>
      </c>
      <c r="I296" s="293">
        <f>IF('Overflow (6)'!O54&lt;2015,MIN(G296,H296)/2,MIN(G296,H296))</f>
        <v>0</v>
      </c>
      <c r="J296" s="960">
        <f t="shared" si="48"/>
        <v>0</v>
      </c>
      <c r="K296" s="293">
        <f t="shared" si="49"/>
        <v>0</v>
      </c>
      <c r="L296" s="860">
        <f>LOOKUP('Overflow (6)'!$C54,Cities!$A$3:$A$356,Cities!$D$3:$D$356)</f>
        <v>0</v>
      </c>
      <c r="M296" s="861">
        <f t="shared" si="50"/>
        <v>0</v>
      </c>
      <c r="O296" s="271">
        <f>LOOKUP('Overflow (6)'!$C54,Cities!$A$3:$A$356,Cities!$C$3:$C$356)</f>
        <v>0</v>
      </c>
      <c r="P296" s="857">
        <f>IF('Overflow (6)'!O54&lt;2015,'Print Return'!L$45,J296)</f>
        <v>0</v>
      </c>
      <c r="Q296" s="858">
        <f>'Overflow (6)'!$M54</f>
        <v>0</v>
      </c>
      <c r="R296" s="859">
        <f t="shared" si="51"/>
        <v>0</v>
      </c>
      <c r="S296" s="825">
        <f>'Overflow (6)'!G108</f>
        <v>0</v>
      </c>
      <c r="T296" s="826">
        <f t="shared" si="52"/>
        <v>0</v>
      </c>
      <c r="U296" s="860">
        <f>LOOKUP('Overflow (6)'!$C54,Cities!$A$3:$A$356,Cities!$D$3:$D$356)</f>
        <v>0</v>
      </c>
      <c r="V296" s="861">
        <f t="shared" si="53"/>
        <v>0</v>
      </c>
    </row>
    <row r="297" spans="1:25" x14ac:dyDescent="0.2">
      <c r="A297" s="271">
        <f>LOOKUP('Overflow (6)'!$C55,Cities!$A$3:$A$356,Cities!$C$3:$C$356)</f>
        <v>0</v>
      </c>
      <c r="B297" s="959">
        <f>'Print Return'!L$37</f>
        <v>0</v>
      </c>
      <c r="C297" s="858">
        <f>'Overflow (6)'!$M55</f>
        <v>0</v>
      </c>
      <c r="D297" s="859">
        <f t="shared" si="45"/>
        <v>0</v>
      </c>
      <c r="E297" s="825">
        <f>'Overflow (6)'!G109</f>
        <v>0</v>
      </c>
      <c r="F297" s="826">
        <f t="shared" si="46"/>
        <v>0</v>
      </c>
      <c r="G297" s="960">
        <f t="shared" si="47"/>
        <v>0</v>
      </c>
      <c r="H297" s="122">
        <f>'Print Return'!L$41</f>
        <v>0</v>
      </c>
      <c r="I297" s="293">
        <f>IF('Overflow (6)'!O55&lt;2015,MIN(G297,H297)/2,MIN(G297,H297))</f>
        <v>0</v>
      </c>
      <c r="J297" s="960">
        <f t="shared" si="48"/>
        <v>0</v>
      </c>
      <c r="K297" s="293">
        <f t="shared" si="49"/>
        <v>0</v>
      </c>
      <c r="L297" s="860">
        <f>LOOKUP('Overflow (6)'!$C55,Cities!$A$3:$A$356,Cities!$D$3:$D$356)</f>
        <v>0</v>
      </c>
      <c r="M297" s="861">
        <f t="shared" si="50"/>
        <v>0</v>
      </c>
      <c r="O297" s="271">
        <f>LOOKUP('Overflow (6)'!$C55,Cities!$A$3:$A$356,Cities!$C$3:$C$356)</f>
        <v>0</v>
      </c>
      <c r="P297" s="857">
        <f>IF('Overflow (6)'!O55&lt;2015,'Print Return'!L$45,J297)</f>
        <v>0</v>
      </c>
      <c r="Q297" s="858">
        <f>'Overflow (6)'!$M55</f>
        <v>0</v>
      </c>
      <c r="R297" s="859">
        <f t="shared" si="51"/>
        <v>0</v>
      </c>
      <c r="S297" s="825">
        <f>'Overflow (6)'!G109</f>
        <v>0</v>
      </c>
      <c r="T297" s="826">
        <f t="shared" si="52"/>
        <v>0</v>
      </c>
      <c r="U297" s="860">
        <f>LOOKUP('Overflow (6)'!$C55,Cities!$A$3:$A$356,Cities!$D$3:$D$356)</f>
        <v>0</v>
      </c>
      <c r="V297" s="861">
        <f t="shared" si="53"/>
        <v>0</v>
      </c>
    </row>
    <row r="298" spans="1:25" x14ac:dyDescent="0.2">
      <c r="A298" s="271">
        <f>LOOKUP('Overflow (6)'!$C56,Cities!$A$3:$A$356,Cities!$C$3:$C$356)</f>
        <v>0</v>
      </c>
      <c r="B298" s="959">
        <f>'Print Return'!L$37</f>
        <v>0</v>
      </c>
      <c r="C298" s="858">
        <f>'Overflow (6)'!$M56</f>
        <v>0</v>
      </c>
      <c r="D298" s="859">
        <f t="shared" si="45"/>
        <v>0</v>
      </c>
      <c r="E298" s="825">
        <f>'Overflow (6)'!G110</f>
        <v>0</v>
      </c>
      <c r="F298" s="826">
        <f t="shared" si="46"/>
        <v>0</v>
      </c>
      <c r="G298" s="960">
        <f t="shared" si="47"/>
        <v>0</v>
      </c>
      <c r="H298" s="122">
        <f>'Print Return'!L$41</f>
        <v>0</v>
      </c>
      <c r="I298" s="293">
        <f>IF('Overflow (6)'!O56&lt;2015,MIN(G298,H298)/2,MIN(G298,H298))</f>
        <v>0</v>
      </c>
      <c r="J298" s="960">
        <f t="shared" si="48"/>
        <v>0</v>
      </c>
      <c r="K298" s="293">
        <f t="shared" si="49"/>
        <v>0</v>
      </c>
      <c r="L298" s="860">
        <f>LOOKUP('Overflow (6)'!$C56,Cities!$A$3:$A$356,Cities!$D$3:$D$356)</f>
        <v>0</v>
      </c>
      <c r="M298" s="861">
        <f t="shared" si="50"/>
        <v>0</v>
      </c>
      <c r="O298" s="271">
        <f>LOOKUP('Overflow (6)'!$C56,Cities!$A$3:$A$356,Cities!$C$3:$C$356)</f>
        <v>0</v>
      </c>
      <c r="P298" s="857">
        <f>IF('Overflow (6)'!O56&lt;2015,'Print Return'!L$45,J298)</f>
        <v>0</v>
      </c>
      <c r="Q298" s="858">
        <f>'Overflow (6)'!$M56</f>
        <v>0</v>
      </c>
      <c r="R298" s="859">
        <f t="shared" si="51"/>
        <v>0</v>
      </c>
      <c r="S298" s="825">
        <f>'Overflow (6)'!G110</f>
        <v>0</v>
      </c>
      <c r="T298" s="826">
        <f t="shared" si="52"/>
        <v>0</v>
      </c>
      <c r="U298" s="860">
        <f>LOOKUP('Overflow (6)'!$C56,Cities!$A$3:$A$356,Cities!$D$3:$D$356)</f>
        <v>0</v>
      </c>
      <c r="V298" s="861">
        <f t="shared" si="53"/>
        <v>0</v>
      </c>
    </row>
    <row r="299" spans="1:25" x14ac:dyDescent="0.2">
      <c r="A299" s="306"/>
      <c r="B299" s="16"/>
      <c r="C299" s="16"/>
      <c r="D299" s="16"/>
      <c r="E299" s="16"/>
      <c r="F299" s="16"/>
      <c r="G299" s="16"/>
      <c r="H299" s="16"/>
      <c r="I299" s="16"/>
      <c r="J299" s="16"/>
      <c r="K299" s="16"/>
      <c r="L299" s="16"/>
      <c r="M299" s="264"/>
      <c r="O299" s="306"/>
      <c r="P299" s="16"/>
      <c r="Q299" s="16"/>
      <c r="R299" s="16"/>
      <c r="S299" s="16"/>
      <c r="T299" s="16"/>
      <c r="U299" s="16"/>
      <c r="V299" s="264"/>
    </row>
    <row r="300" spans="1:25" ht="13.5" thickBot="1" x14ac:dyDescent="0.25">
      <c r="A300" s="267" t="s">
        <v>1714</v>
      </c>
      <c r="B300" s="862"/>
      <c r="C300" s="920">
        <f>SUM(C254:C298)</f>
        <v>0</v>
      </c>
      <c r="D300" s="862"/>
      <c r="E300" s="863">
        <f>SUM(E254:E298)</f>
        <v>0</v>
      </c>
      <c r="F300" s="862"/>
      <c r="G300" s="862"/>
      <c r="H300" s="862"/>
      <c r="I300" s="862"/>
      <c r="J300" s="862"/>
      <c r="K300" s="865">
        <f>SUM(K254:K298)</f>
        <v>0</v>
      </c>
      <c r="L300" s="862"/>
      <c r="M300" s="864">
        <f>ROUND(SUMIF(M254:M298,"&gt;10"),0)</f>
        <v>0</v>
      </c>
      <c r="N300" s="1"/>
      <c r="O300" s="267"/>
      <c r="P300" s="862"/>
      <c r="Q300" s="892">
        <f>SUM(Q254:Q298)</f>
        <v>0</v>
      </c>
      <c r="R300" s="862"/>
      <c r="S300" s="863">
        <f>SUM(S254:S298)</f>
        <v>0</v>
      </c>
      <c r="T300" s="865">
        <f>SUM(T254:T298)</f>
        <v>0</v>
      </c>
      <c r="U300" s="862"/>
      <c r="V300" s="864">
        <f>ROUND(SUMIF(V254:V298,"&gt; 10"),0)</f>
        <v>0</v>
      </c>
    </row>
    <row r="301" spans="1:25" ht="18.75" thickBot="1" x14ac:dyDescent="0.3">
      <c r="A301" s="923" t="s">
        <v>1760</v>
      </c>
      <c r="B301" s="253"/>
      <c r="C301" s="253"/>
      <c r="D301" s="253"/>
      <c r="E301" s="253"/>
      <c r="F301" s="253"/>
      <c r="G301" s="253"/>
      <c r="H301" s="253"/>
      <c r="I301" s="253"/>
      <c r="J301" s="253"/>
      <c r="K301" s="253"/>
      <c r="L301" s="253"/>
      <c r="M301" s="253"/>
      <c r="N301" s="16"/>
      <c r="O301" s="923" t="s">
        <v>1761</v>
      </c>
      <c r="P301" s="253"/>
      <c r="Q301" s="253"/>
      <c r="R301" s="253"/>
      <c r="S301" s="253"/>
      <c r="T301" s="253"/>
      <c r="U301" s="253"/>
      <c r="V301" s="253"/>
      <c r="W301" s="16"/>
      <c r="X301" s="16"/>
      <c r="Y301" s="16"/>
    </row>
    <row r="302" spans="1:25" ht="17.25" customHeight="1" x14ac:dyDescent="0.2">
      <c r="A302" s="1572" t="s">
        <v>166</v>
      </c>
      <c r="B302" s="1568" t="s">
        <v>1720</v>
      </c>
      <c r="C302" s="1568" t="s">
        <v>1746</v>
      </c>
      <c r="D302" s="1568" t="s">
        <v>1722</v>
      </c>
      <c r="E302" s="1568" t="s">
        <v>1723</v>
      </c>
      <c r="F302" s="1568" t="s">
        <v>1724</v>
      </c>
      <c r="G302" s="1568" t="s">
        <v>1725</v>
      </c>
      <c r="H302" s="1568" t="s">
        <v>1726</v>
      </c>
      <c r="I302" s="1568" t="s">
        <v>1727</v>
      </c>
      <c r="J302" s="1568" t="s">
        <v>1728</v>
      </c>
      <c r="K302" s="1568" t="s">
        <v>1729</v>
      </c>
      <c r="L302" s="1568" t="s">
        <v>1730</v>
      </c>
      <c r="M302" s="1570" t="s">
        <v>1731</v>
      </c>
      <c r="N302" s="922"/>
      <c r="O302" s="1572" t="s">
        <v>166</v>
      </c>
      <c r="P302" s="1568" t="s">
        <v>1747</v>
      </c>
      <c r="Q302" s="1568" t="s">
        <v>1736</v>
      </c>
      <c r="R302" s="1568" t="s">
        <v>1741</v>
      </c>
      <c r="S302" s="1568" t="s">
        <v>1699</v>
      </c>
      <c r="T302" s="1568" t="s">
        <v>1700</v>
      </c>
      <c r="U302" s="1568" t="s">
        <v>1742</v>
      </c>
      <c r="V302" s="1570" t="s">
        <v>1743</v>
      </c>
    </row>
    <row r="303" spans="1:25" ht="54" customHeight="1" thickBot="1" x14ac:dyDescent="0.25">
      <c r="A303" s="1573"/>
      <c r="B303" s="1569"/>
      <c r="C303" s="1569"/>
      <c r="D303" s="1569"/>
      <c r="E303" s="1569"/>
      <c r="F303" s="1569"/>
      <c r="G303" s="1569"/>
      <c r="H303" s="1569"/>
      <c r="I303" s="1569"/>
      <c r="J303" s="1569"/>
      <c r="K303" s="1569"/>
      <c r="L303" s="1569"/>
      <c r="M303" s="1571"/>
      <c r="N303" s="922"/>
      <c r="O303" s="1573"/>
      <c r="P303" s="1569"/>
      <c r="Q303" s="1569"/>
      <c r="R303" s="1569"/>
      <c r="S303" s="1569"/>
      <c r="T303" s="1569"/>
      <c r="U303" s="1569"/>
      <c r="V303" s="1571"/>
    </row>
    <row r="304" spans="1:25" x14ac:dyDescent="0.2">
      <c r="A304" s="271">
        <f>LOOKUP('Overflow (7)'!$C12,Cities!$A$3:$A$356,Cities!$C$3:$C$356)</f>
        <v>0</v>
      </c>
      <c r="B304" s="959">
        <f>'Print Return'!L$37</f>
        <v>0</v>
      </c>
      <c r="C304" s="858">
        <f>'Overflow (7)'!$M12</f>
        <v>0</v>
      </c>
      <c r="D304" s="859">
        <f t="shared" ref="D304:D348" si="54">B304*IF(ISNUMBER(C304)=TRUE,C304,0)</f>
        <v>0</v>
      </c>
      <c r="E304" s="825">
        <f>'Overflow (7)'!G66</f>
        <v>0</v>
      </c>
      <c r="F304" s="826">
        <f>D304-E304</f>
        <v>0</v>
      </c>
      <c r="G304" s="960">
        <f>IF(C304&gt;0,F304 / C304,0)</f>
        <v>0</v>
      </c>
      <c r="H304" s="122">
        <f>'Print Return'!L$41</f>
        <v>0</v>
      </c>
      <c r="I304" s="293">
        <f>IF('Overflow (7)'!O12&lt;2015,MIN(G304,H304)/2,MIN(G304,H304))</f>
        <v>0</v>
      </c>
      <c r="J304" s="960">
        <f>IF(G304-I304&gt;0,G304-I304,0)</f>
        <v>0</v>
      </c>
      <c r="K304" s="293">
        <f>J304*IF(C304&gt;0,C304,0)</f>
        <v>0</v>
      </c>
      <c r="L304" s="860">
        <f>LOOKUP('Overflow (7)'!$C12,Cities!$A$3:$A$356,Cities!$D$3:$D$356)</f>
        <v>0</v>
      </c>
      <c r="M304" s="861">
        <f>K304*L304</f>
        <v>0</v>
      </c>
      <c r="N304" s="1"/>
      <c r="O304" s="271">
        <f>LOOKUP('Overflow (7)'!$C12,Cities!$A$3:$A$356,Cities!$C$3:$C$356)</f>
        <v>0</v>
      </c>
      <c r="P304" s="857">
        <f>IF('Overflow (7)'!O12&lt;2015,'Print Return'!L$45,J304)</f>
        <v>0</v>
      </c>
      <c r="Q304" s="858">
        <f>'Overflow (7)'!$M12</f>
        <v>0</v>
      </c>
      <c r="R304" s="859">
        <f>P304*IF(Q304&gt;0,Q304,0)</f>
        <v>0</v>
      </c>
      <c r="S304" s="825">
        <f>'Overflow (7)'!G66</f>
        <v>0</v>
      </c>
      <c r="T304" s="826">
        <f>IF(P304&gt;0,R304-S304,0)</f>
        <v>0</v>
      </c>
      <c r="U304" s="860">
        <f>LOOKUP('Overflow (7)'!$C12,Cities!$A$3:$A$356,Cities!$D$3:$D$356)</f>
        <v>0</v>
      </c>
      <c r="V304" s="861">
        <f>T304*U304</f>
        <v>0</v>
      </c>
    </row>
    <row r="305" spans="1:22" x14ac:dyDescent="0.2">
      <c r="A305" s="271">
        <f>LOOKUP('Overflow (7)'!$C13,Cities!$A$3:$A$356,Cities!$C$3:$C$356)</f>
        <v>0</v>
      </c>
      <c r="B305" s="959">
        <f>'Print Return'!L$37</f>
        <v>0</v>
      </c>
      <c r="C305" s="858">
        <f>'Overflow (7)'!$M13</f>
        <v>0</v>
      </c>
      <c r="D305" s="859">
        <f t="shared" si="54"/>
        <v>0</v>
      </c>
      <c r="E305" s="825">
        <f>'Overflow (7)'!G67</f>
        <v>0</v>
      </c>
      <c r="F305" s="826">
        <f t="shared" ref="F305:F348" si="55">D305-E305</f>
        <v>0</v>
      </c>
      <c r="G305" s="960">
        <f t="shared" ref="G305:G348" si="56">IF(C305&gt;0,F305 / C305,0)</f>
        <v>0</v>
      </c>
      <c r="H305" s="122">
        <f>'Print Return'!L$41</f>
        <v>0</v>
      </c>
      <c r="I305" s="293">
        <f>IF('Overflow (7)'!O13&lt;2015,MIN(G305,H305)/2,MIN(G305,H305))</f>
        <v>0</v>
      </c>
      <c r="J305" s="960">
        <f t="shared" ref="J305:J348" si="57">IF(G305-I305&gt;0,G305-I305,0)</f>
        <v>0</v>
      </c>
      <c r="K305" s="293">
        <f t="shared" ref="K305:K348" si="58">J305*IF(C305&gt;0,C305,0)</f>
        <v>0</v>
      </c>
      <c r="L305" s="860">
        <f>LOOKUP('Overflow (7)'!$C13,Cities!$A$3:$A$356,Cities!$D$3:$D$356)</f>
        <v>0</v>
      </c>
      <c r="M305" s="861">
        <f t="shared" ref="M305:M348" si="59">K305*L305</f>
        <v>0</v>
      </c>
      <c r="O305" s="271">
        <f>LOOKUP('Overflow (7)'!$C13,Cities!$A$3:$A$356,Cities!$C$3:$C$356)</f>
        <v>0</v>
      </c>
      <c r="P305" s="857">
        <f>IF('Overflow (7)'!O13&lt;2015,'Print Return'!L$45,J305)</f>
        <v>0</v>
      </c>
      <c r="Q305" s="858">
        <f>'Overflow (7)'!$M13</f>
        <v>0</v>
      </c>
      <c r="R305" s="859">
        <f t="shared" ref="R305:R348" si="60">P305*IF(Q305&gt;0,Q305,0)</f>
        <v>0</v>
      </c>
      <c r="S305" s="825">
        <f>'Overflow (7)'!G67</f>
        <v>0</v>
      </c>
      <c r="T305" s="826">
        <f t="shared" ref="T305:T348" si="61">IF(P305&gt;0,R305-S305,0)</f>
        <v>0</v>
      </c>
      <c r="U305" s="860">
        <f>LOOKUP('Overflow (7)'!$C13,Cities!$A$3:$A$356,Cities!$D$3:$D$356)</f>
        <v>0</v>
      </c>
      <c r="V305" s="861">
        <f t="shared" ref="V305:V348" si="62">T305*U305</f>
        <v>0</v>
      </c>
    </row>
    <row r="306" spans="1:22" x14ac:dyDescent="0.2">
      <c r="A306" s="271">
        <f>LOOKUP('Overflow (7)'!$C14,Cities!$A$3:$A$356,Cities!$C$3:$C$356)</f>
        <v>0</v>
      </c>
      <c r="B306" s="959">
        <f>'Print Return'!L$37</f>
        <v>0</v>
      </c>
      <c r="C306" s="858">
        <f>'Overflow (7)'!$M14</f>
        <v>0</v>
      </c>
      <c r="D306" s="859">
        <f t="shared" si="54"/>
        <v>0</v>
      </c>
      <c r="E306" s="825">
        <f>'Overflow (7)'!G68</f>
        <v>0</v>
      </c>
      <c r="F306" s="826">
        <f t="shared" si="55"/>
        <v>0</v>
      </c>
      <c r="G306" s="960">
        <f t="shared" si="56"/>
        <v>0</v>
      </c>
      <c r="H306" s="122">
        <f>'Print Return'!L$41</f>
        <v>0</v>
      </c>
      <c r="I306" s="293">
        <f>IF('Overflow (7)'!O14&lt;2015,MIN(G306,H306)/2,MIN(G306,H306))</f>
        <v>0</v>
      </c>
      <c r="J306" s="960">
        <f t="shared" si="57"/>
        <v>0</v>
      </c>
      <c r="K306" s="293">
        <f t="shared" si="58"/>
        <v>0</v>
      </c>
      <c r="L306" s="860">
        <f>LOOKUP('Overflow (7)'!$C14,Cities!$A$3:$A$356,Cities!$D$3:$D$356)</f>
        <v>0</v>
      </c>
      <c r="M306" s="861">
        <f t="shared" si="59"/>
        <v>0</v>
      </c>
      <c r="O306" s="271">
        <f>LOOKUP('Overflow (7)'!$C14,Cities!$A$3:$A$356,Cities!$C$3:$C$356)</f>
        <v>0</v>
      </c>
      <c r="P306" s="857">
        <f>IF('Overflow (7)'!O14&lt;2015,'Print Return'!L$45,J306)</f>
        <v>0</v>
      </c>
      <c r="Q306" s="858">
        <f>'Overflow (7)'!$M14</f>
        <v>0</v>
      </c>
      <c r="R306" s="859">
        <f t="shared" si="60"/>
        <v>0</v>
      </c>
      <c r="S306" s="825">
        <f>'Overflow (7)'!G68</f>
        <v>0</v>
      </c>
      <c r="T306" s="826">
        <f t="shared" si="61"/>
        <v>0</v>
      </c>
      <c r="U306" s="860">
        <f>LOOKUP('Overflow (7)'!$C14,Cities!$A$3:$A$356,Cities!$D$3:$D$356)</f>
        <v>0</v>
      </c>
      <c r="V306" s="861">
        <f t="shared" si="62"/>
        <v>0</v>
      </c>
    </row>
    <row r="307" spans="1:22" x14ac:dyDescent="0.2">
      <c r="A307" s="271">
        <f>LOOKUP('Overflow (7)'!$C15,Cities!$A$3:$A$356,Cities!$C$3:$C$356)</f>
        <v>0</v>
      </c>
      <c r="B307" s="959">
        <f>'Print Return'!L$37</f>
        <v>0</v>
      </c>
      <c r="C307" s="858">
        <f>'Overflow (7)'!$M15</f>
        <v>0</v>
      </c>
      <c r="D307" s="859">
        <f t="shared" si="54"/>
        <v>0</v>
      </c>
      <c r="E307" s="825">
        <f>'Overflow (7)'!G69</f>
        <v>0</v>
      </c>
      <c r="F307" s="826">
        <f t="shared" si="55"/>
        <v>0</v>
      </c>
      <c r="G307" s="960">
        <f t="shared" si="56"/>
        <v>0</v>
      </c>
      <c r="H307" s="122">
        <f>'Print Return'!L$41</f>
        <v>0</v>
      </c>
      <c r="I307" s="293">
        <f>IF('Overflow (7)'!O15&lt;2015,MIN(G307,H307)/2,MIN(G307,H307))</f>
        <v>0</v>
      </c>
      <c r="J307" s="960">
        <f t="shared" si="57"/>
        <v>0</v>
      </c>
      <c r="K307" s="293">
        <f t="shared" si="58"/>
        <v>0</v>
      </c>
      <c r="L307" s="860">
        <f>LOOKUP('Overflow (7)'!$C15,Cities!$A$3:$A$356,Cities!$D$3:$D$356)</f>
        <v>0</v>
      </c>
      <c r="M307" s="861">
        <f t="shared" si="59"/>
        <v>0</v>
      </c>
      <c r="O307" s="271">
        <f>LOOKUP('Overflow (7)'!$C15,Cities!$A$3:$A$356,Cities!$C$3:$C$356)</f>
        <v>0</v>
      </c>
      <c r="P307" s="857">
        <f>IF('Overflow (7)'!O15&lt;2015,'Print Return'!L$45,J307)</f>
        <v>0</v>
      </c>
      <c r="Q307" s="858">
        <f>'Overflow (7)'!$M15</f>
        <v>0</v>
      </c>
      <c r="R307" s="859">
        <f t="shared" si="60"/>
        <v>0</v>
      </c>
      <c r="S307" s="825">
        <f>'Overflow (7)'!G69</f>
        <v>0</v>
      </c>
      <c r="T307" s="826">
        <f t="shared" si="61"/>
        <v>0</v>
      </c>
      <c r="U307" s="860">
        <f>LOOKUP('Overflow (7)'!$C15,Cities!$A$3:$A$356,Cities!$D$3:$D$356)</f>
        <v>0</v>
      </c>
      <c r="V307" s="861">
        <f t="shared" si="62"/>
        <v>0</v>
      </c>
    </row>
    <row r="308" spans="1:22" x14ac:dyDescent="0.2">
      <c r="A308" s="271">
        <f>LOOKUP('Overflow (7)'!$C16,Cities!$A$3:$A$356,Cities!$C$3:$C$356)</f>
        <v>0</v>
      </c>
      <c r="B308" s="959">
        <f>'Print Return'!L$37</f>
        <v>0</v>
      </c>
      <c r="C308" s="858">
        <f>'Overflow (7)'!$M16</f>
        <v>0</v>
      </c>
      <c r="D308" s="859">
        <f t="shared" si="54"/>
        <v>0</v>
      </c>
      <c r="E308" s="825">
        <f>'Overflow (7)'!G70</f>
        <v>0</v>
      </c>
      <c r="F308" s="826">
        <f t="shared" si="55"/>
        <v>0</v>
      </c>
      <c r="G308" s="960">
        <f t="shared" si="56"/>
        <v>0</v>
      </c>
      <c r="H308" s="122">
        <f>'Print Return'!L$41</f>
        <v>0</v>
      </c>
      <c r="I308" s="293">
        <f>IF('Overflow (7)'!O16&lt;2015,MIN(G308,H308)/2,MIN(G308,H308))</f>
        <v>0</v>
      </c>
      <c r="J308" s="960">
        <f t="shared" si="57"/>
        <v>0</v>
      </c>
      <c r="K308" s="293">
        <f t="shared" si="58"/>
        <v>0</v>
      </c>
      <c r="L308" s="860">
        <f>LOOKUP('Overflow (7)'!$C16,Cities!$A$3:$A$356,Cities!$D$3:$D$356)</f>
        <v>0</v>
      </c>
      <c r="M308" s="861">
        <f t="shared" si="59"/>
        <v>0</v>
      </c>
      <c r="O308" s="271">
        <f>LOOKUP('Overflow (7)'!$C16,Cities!$A$3:$A$356,Cities!$C$3:$C$356)</f>
        <v>0</v>
      </c>
      <c r="P308" s="857">
        <f>IF('Overflow (7)'!O16&lt;2015,'Print Return'!L$45,J308)</f>
        <v>0</v>
      </c>
      <c r="Q308" s="858">
        <f>'Overflow (7)'!$M16</f>
        <v>0</v>
      </c>
      <c r="R308" s="859">
        <f t="shared" si="60"/>
        <v>0</v>
      </c>
      <c r="S308" s="825">
        <f>'Overflow (7)'!G70</f>
        <v>0</v>
      </c>
      <c r="T308" s="826">
        <f t="shared" si="61"/>
        <v>0</v>
      </c>
      <c r="U308" s="860">
        <f>LOOKUP('Overflow (7)'!$C16,Cities!$A$3:$A$356,Cities!$D$3:$D$356)</f>
        <v>0</v>
      </c>
      <c r="V308" s="861">
        <f t="shared" si="62"/>
        <v>0</v>
      </c>
    </row>
    <row r="309" spans="1:22" x14ac:dyDescent="0.2">
      <c r="A309" s="271">
        <f>LOOKUP('Overflow (7)'!$C17,Cities!$A$3:$A$356,Cities!$C$3:$C$356)</f>
        <v>0</v>
      </c>
      <c r="B309" s="959">
        <f>'Print Return'!L$37</f>
        <v>0</v>
      </c>
      <c r="C309" s="858">
        <f>'Overflow (7)'!$M17</f>
        <v>0</v>
      </c>
      <c r="D309" s="859">
        <f t="shared" si="54"/>
        <v>0</v>
      </c>
      <c r="E309" s="825">
        <f>'Overflow (7)'!G71</f>
        <v>0</v>
      </c>
      <c r="F309" s="826">
        <f t="shared" si="55"/>
        <v>0</v>
      </c>
      <c r="G309" s="960">
        <f t="shared" si="56"/>
        <v>0</v>
      </c>
      <c r="H309" s="122">
        <f>'Print Return'!L$41</f>
        <v>0</v>
      </c>
      <c r="I309" s="293">
        <f>IF('Overflow (7)'!O17&lt;2015,MIN(G309,H309)/2,MIN(G309,H309))</f>
        <v>0</v>
      </c>
      <c r="J309" s="960">
        <f t="shared" si="57"/>
        <v>0</v>
      </c>
      <c r="K309" s="293">
        <f t="shared" si="58"/>
        <v>0</v>
      </c>
      <c r="L309" s="860">
        <f>LOOKUP('Overflow (7)'!$C17,Cities!$A$3:$A$356,Cities!$D$3:$D$356)</f>
        <v>0</v>
      </c>
      <c r="M309" s="861">
        <f t="shared" si="59"/>
        <v>0</v>
      </c>
      <c r="O309" s="271">
        <f>LOOKUP('Overflow (7)'!$C17,Cities!$A$3:$A$356,Cities!$C$3:$C$356)</f>
        <v>0</v>
      </c>
      <c r="P309" s="857">
        <f>IF('Overflow (7)'!O17&lt;2015,'Print Return'!L$45,J309)</f>
        <v>0</v>
      </c>
      <c r="Q309" s="858">
        <f>'Overflow (7)'!$M17</f>
        <v>0</v>
      </c>
      <c r="R309" s="859">
        <f t="shared" si="60"/>
        <v>0</v>
      </c>
      <c r="S309" s="825">
        <f>'Overflow (7)'!G71</f>
        <v>0</v>
      </c>
      <c r="T309" s="826">
        <f t="shared" si="61"/>
        <v>0</v>
      </c>
      <c r="U309" s="860">
        <f>LOOKUP('Overflow (7)'!$C17,Cities!$A$3:$A$356,Cities!$D$3:$D$356)</f>
        <v>0</v>
      </c>
      <c r="V309" s="861">
        <f t="shared" si="62"/>
        <v>0</v>
      </c>
    </row>
    <row r="310" spans="1:22" x14ac:dyDescent="0.2">
      <c r="A310" s="271">
        <f>LOOKUP('Overflow (7)'!$C18,Cities!$A$3:$A$356,Cities!$C$3:$C$356)</f>
        <v>0</v>
      </c>
      <c r="B310" s="959">
        <f>'Print Return'!L$37</f>
        <v>0</v>
      </c>
      <c r="C310" s="858">
        <f>'Overflow (7)'!$M18</f>
        <v>0</v>
      </c>
      <c r="D310" s="859">
        <f t="shared" si="54"/>
        <v>0</v>
      </c>
      <c r="E310" s="825">
        <f>'Overflow (7)'!G72</f>
        <v>0</v>
      </c>
      <c r="F310" s="826">
        <f t="shared" si="55"/>
        <v>0</v>
      </c>
      <c r="G310" s="960">
        <f t="shared" si="56"/>
        <v>0</v>
      </c>
      <c r="H310" s="122">
        <f>'Print Return'!L$41</f>
        <v>0</v>
      </c>
      <c r="I310" s="293">
        <f>IF('Overflow (7)'!O18&lt;2015,MIN(G310,H310)/2,MIN(G310,H310))</f>
        <v>0</v>
      </c>
      <c r="J310" s="960">
        <f t="shared" si="57"/>
        <v>0</v>
      </c>
      <c r="K310" s="293">
        <f t="shared" si="58"/>
        <v>0</v>
      </c>
      <c r="L310" s="860">
        <f>LOOKUP('Overflow (7)'!$C18,Cities!$A$3:$A$356,Cities!$D$3:$D$356)</f>
        <v>0</v>
      </c>
      <c r="M310" s="861">
        <f t="shared" si="59"/>
        <v>0</v>
      </c>
      <c r="O310" s="271">
        <f>LOOKUP('Overflow (7)'!$C18,Cities!$A$3:$A$356,Cities!$C$3:$C$356)</f>
        <v>0</v>
      </c>
      <c r="P310" s="857">
        <f>IF('Overflow (7)'!O18&lt;2015,'Print Return'!L$45,J310)</f>
        <v>0</v>
      </c>
      <c r="Q310" s="858">
        <f>'Overflow (7)'!$M18</f>
        <v>0</v>
      </c>
      <c r="R310" s="859">
        <f t="shared" si="60"/>
        <v>0</v>
      </c>
      <c r="S310" s="825">
        <f>'Overflow (7)'!G72</f>
        <v>0</v>
      </c>
      <c r="T310" s="826">
        <f t="shared" si="61"/>
        <v>0</v>
      </c>
      <c r="U310" s="860">
        <f>LOOKUP('Overflow (7)'!$C18,Cities!$A$3:$A$356,Cities!$D$3:$D$356)</f>
        <v>0</v>
      </c>
      <c r="V310" s="861">
        <f t="shared" si="62"/>
        <v>0</v>
      </c>
    </row>
    <row r="311" spans="1:22" x14ac:dyDescent="0.2">
      <c r="A311" s="271">
        <f>LOOKUP('Overflow (7)'!$C19,Cities!$A$3:$A$356,Cities!$C$3:$C$356)</f>
        <v>0</v>
      </c>
      <c r="B311" s="959">
        <f>'Print Return'!L$37</f>
        <v>0</v>
      </c>
      <c r="C311" s="858">
        <f>'Overflow (7)'!$M19</f>
        <v>0</v>
      </c>
      <c r="D311" s="859">
        <f t="shared" si="54"/>
        <v>0</v>
      </c>
      <c r="E311" s="825">
        <f>'Overflow (7)'!G73</f>
        <v>0</v>
      </c>
      <c r="F311" s="826">
        <f t="shared" si="55"/>
        <v>0</v>
      </c>
      <c r="G311" s="960">
        <f t="shared" si="56"/>
        <v>0</v>
      </c>
      <c r="H311" s="122">
        <f>'Print Return'!L$41</f>
        <v>0</v>
      </c>
      <c r="I311" s="293">
        <f>IF('Overflow (7)'!O19&lt;2015,MIN(G311,H311)/2,MIN(G311,H311))</f>
        <v>0</v>
      </c>
      <c r="J311" s="960">
        <f t="shared" si="57"/>
        <v>0</v>
      </c>
      <c r="K311" s="293">
        <f t="shared" si="58"/>
        <v>0</v>
      </c>
      <c r="L311" s="860">
        <f>LOOKUP('Overflow (7)'!$C19,Cities!$A$3:$A$356,Cities!$D$3:$D$356)</f>
        <v>0</v>
      </c>
      <c r="M311" s="861">
        <f t="shared" si="59"/>
        <v>0</v>
      </c>
      <c r="O311" s="271">
        <f>LOOKUP('Overflow (7)'!$C19,Cities!$A$3:$A$356,Cities!$C$3:$C$356)</f>
        <v>0</v>
      </c>
      <c r="P311" s="857">
        <f>IF('Overflow (7)'!O19&lt;2015,'Print Return'!L$45,J311)</f>
        <v>0</v>
      </c>
      <c r="Q311" s="858">
        <f>'Overflow (7)'!$M19</f>
        <v>0</v>
      </c>
      <c r="R311" s="859">
        <f t="shared" si="60"/>
        <v>0</v>
      </c>
      <c r="S311" s="825">
        <f>'Overflow (7)'!G73</f>
        <v>0</v>
      </c>
      <c r="T311" s="826">
        <f t="shared" si="61"/>
        <v>0</v>
      </c>
      <c r="U311" s="860">
        <f>LOOKUP('Overflow (7)'!$C19,Cities!$A$3:$A$356,Cities!$D$3:$D$356)</f>
        <v>0</v>
      </c>
      <c r="V311" s="861">
        <f t="shared" si="62"/>
        <v>0</v>
      </c>
    </row>
    <row r="312" spans="1:22" x14ac:dyDescent="0.2">
      <c r="A312" s="271">
        <f>LOOKUP('Overflow (7)'!$C20,Cities!$A$3:$A$356,Cities!$C$3:$C$356)</f>
        <v>0</v>
      </c>
      <c r="B312" s="959">
        <f>'Print Return'!L$37</f>
        <v>0</v>
      </c>
      <c r="C312" s="858">
        <f>'Overflow (7)'!$M20</f>
        <v>0</v>
      </c>
      <c r="D312" s="859">
        <f t="shared" si="54"/>
        <v>0</v>
      </c>
      <c r="E312" s="825">
        <f>'Overflow (7)'!G74</f>
        <v>0</v>
      </c>
      <c r="F312" s="826">
        <f t="shared" si="55"/>
        <v>0</v>
      </c>
      <c r="G312" s="960">
        <f t="shared" si="56"/>
        <v>0</v>
      </c>
      <c r="H312" s="122">
        <f>'Print Return'!L$41</f>
        <v>0</v>
      </c>
      <c r="I312" s="293">
        <f>IF('Overflow (7)'!O20&lt;2015,MIN(G312,H312)/2,MIN(G312,H312))</f>
        <v>0</v>
      </c>
      <c r="J312" s="960">
        <f t="shared" si="57"/>
        <v>0</v>
      </c>
      <c r="K312" s="293">
        <f t="shared" si="58"/>
        <v>0</v>
      </c>
      <c r="L312" s="860">
        <f>LOOKUP('Overflow (7)'!$C20,Cities!$A$3:$A$356,Cities!$D$3:$D$356)</f>
        <v>0</v>
      </c>
      <c r="M312" s="861">
        <f t="shared" si="59"/>
        <v>0</v>
      </c>
      <c r="O312" s="271">
        <f>LOOKUP('Overflow (7)'!$C20,Cities!$A$3:$A$356,Cities!$C$3:$C$356)</f>
        <v>0</v>
      </c>
      <c r="P312" s="857">
        <f>IF('Overflow (7)'!O20&lt;2015,'Print Return'!L$45,J312)</f>
        <v>0</v>
      </c>
      <c r="Q312" s="858">
        <f>'Overflow (7)'!$M20</f>
        <v>0</v>
      </c>
      <c r="R312" s="859">
        <f t="shared" si="60"/>
        <v>0</v>
      </c>
      <c r="S312" s="825">
        <f>'Overflow (7)'!G74</f>
        <v>0</v>
      </c>
      <c r="T312" s="826">
        <f t="shared" si="61"/>
        <v>0</v>
      </c>
      <c r="U312" s="860">
        <f>LOOKUP('Overflow (7)'!$C20,Cities!$A$3:$A$356,Cities!$D$3:$D$356)</f>
        <v>0</v>
      </c>
      <c r="V312" s="861">
        <f t="shared" si="62"/>
        <v>0</v>
      </c>
    </row>
    <row r="313" spans="1:22" x14ac:dyDescent="0.2">
      <c r="A313" s="271">
        <f>LOOKUP('Overflow (7)'!$C21,Cities!$A$3:$A$356,Cities!$C$3:$C$356)</f>
        <v>0</v>
      </c>
      <c r="B313" s="959">
        <f>'Print Return'!L$37</f>
        <v>0</v>
      </c>
      <c r="C313" s="858">
        <f>'Overflow (7)'!$M21</f>
        <v>0</v>
      </c>
      <c r="D313" s="859">
        <f t="shared" si="54"/>
        <v>0</v>
      </c>
      <c r="E313" s="825">
        <f>'Overflow (7)'!G75</f>
        <v>0</v>
      </c>
      <c r="F313" s="826">
        <f t="shared" si="55"/>
        <v>0</v>
      </c>
      <c r="G313" s="960">
        <f t="shared" si="56"/>
        <v>0</v>
      </c>
      <c r="H313" s="122">
        <f>'Print Return'!L$41</f>
        <v>0</v>
      </c>
      <c r="I313" s="293">
        <f>IF('Overflow (7)'!O21&lt;2015,MIN(G313,H313)/2,MIN(G313,H313))</f>
        <v>0</v>
      </c>
      <c r="J313" s="960">
        <f t="shared" si="57"/>
        <v>0</v>
      </c>
      <c r="K313" s="293">
        <f t="shared" si="58"/>
        <v>0</v>
      </c>
      <c r="L313" s="860">
        <f>LOOKUP('Overflow (7)'!$C21,Cities!$A$3:$A$356,Cities!$D$3:$D$356)</f>
        <v>0</v>
      </c>
      <c r="M313" s="861">
        <f t="shared" si="59"/>
        <v>0</v>
      </c>
      <c r="O313" s="271">
        <f>LOOKUP('Overflow (7)'!$C21,Cities!$A$3:$A$356,Cities!$C$3:$C$356)</f>
        <v>0</v>
      </c>
      <c r="P313" s="857">
        <f>IF('Overflow (7)'!O21&lt;2015,'Print Return'!L$45,J313)</f>
        <v>0</v>
      </c>
      <c r="Q313" s="858">
        <f>'Overflow (7)'!$M21</f>
        <v>0</v>
      </c>
      <c r="R313" s="859">
        <f t="shared" si="60"/>
        <v>0</v>
      </c>
      <c r="S313" s="825">
        <f>'Overflow (7)'!G75</f>
        <v>0</v>
      </c>
      <c r="T313" s="826">
        <f t="shared" si="61"/>
        <v>0</v>
      </c>
      <c r="U313" s="860">
        <f>LOOKUP('Overflow (7)'!$C21,Cities!$A$3:$A$356,Cities!$D$3:$D$356)</f>
        <v>0</v>
      </c>
      <c r="V313" s="861">
        <f t="shared" si="62"/>
        <v>0</v>
      </c>
    </row>
    <row r="314" spans="1:22" x14ac:dyDescent="0.2">
      <c r="A314" s="271">
        <f>LOOKUP('Overflow (7)'!$C22,Cities!$A$3:$A$356,Cities!$C$3:$C$356)</f>
        <v>0</v>
      </c>
      <c r="B314" s="959">
        <f>'Print Return'!L$37</f>
        <v>0</v>
      </c>
      <c r="C314" s="858">
        <f>'Overflow (7)'!$M22</f>
        <v>0</v>
      </c>
      <c r="D314" s="859">
        <f t="shared" si="54"/>
        <v>0</v>
      </c>
      <c r="E314" s="825">
        <f>'Overflow (7)'!G76</f>
        <v>0</v>
      </c>
      <c r="F314" s="826">
        <f t="shared" si="55"/>
        <v>0</v>
      </c>
      <c r="G314" s="960">
        <f t="shared" si="56"/>
        <v>0</v>
      </c>
      <c r="H314" s="122">
        <f>'Print Return'!L$41</f>
        <v>0</v>
      </c>
      <c r="I314" s="293">
        <f>IF('Overflow (7)'!O22&lt;2015,MIN(G314,H314)/2,MIN(G314,H314))</f>
        <v>0</v>
      </c>
      <c r="J314" s="960">
        <f t="shared" si="57"/>
        <v>0</v>
      </c>
      <c r="K314" s="293">
        <f t="shared" si="58"/>
        <v>0</v>
      </c>
      <c r="L314" s="860">
        <f>LOOKUP('Overflow (7)'!$C22,Cities!$A$3:$A$356,Cities!$D$3:$D$356)</f>
        <v>0</v>
      </c>
      <c r="M314" s="861">
        <f t="shared" si="59"/>
        <v>0</v>
      </c>
      <c r="O314" s="271">
        <f>LOOKUP('Overflow (7)'!$C22,Cities!$A$3:$A$356,Cities!$C$3:$C$356)</f>
        <v>0</v>
      </c>
      <c r="P314" s="857">
        <f>IF('Overflow (7)'!O22&lt;2015,'Print Return'!L$45,J314)</f>
        <v>0</v>
      </c>
      <c r="Q314" s="858">
        <f>'Overflow (7)'!$M22</f>
        <v>0</v>
      </c>
      <c r="R314" s="859">
        <f t="shared" si="60"/>
        <v>0</v>
      </c>
      <c r="S314" s="825">
        <f>'Overflow (7)'!G76</f>
        <v>0</v>
      </c>
      <c r="T314" s="826">
        <f t="shared" si="61"/>
        <v>0</v>
      </c>
      <c r="U314" s="860">
        <f>LOOKUP('Overflow (7)'!$C22,Cities!$A$3:$A$356,Cities!$D$3:$D$356)</f>
        <v>0</v>
      </c>
      <c r="V314" s="861">
        <f t="shared" si="62"/>
        <v>0</v>
      </c>
    </row>
    <row r="315" spans="1:22" x14ac:dyDescent="0.2">
      <c r="A315" s="271">
        <f>LOOKUP('Overflow (7)'!$C23,Cities!$A$3:$A$356,Cities!$C$3:$C$356)</f>
        <v>0</v>
      </c>
      <c r="B315" s="959">
        <f>'Print Return'!L$37</f>
        <v>0</v>
      </c>
      <c r="C315" s="858">
        <f>'Overflow (7)'!$M23</f>
        <v>0</v>
      </c>
      <c r="D315" s="859">
        <f t="shared" si="54"/>
        <v>0</v>
      </c>
      <c r="E315" s="825">
        <f>'Overflow (7)'!G77</f>
        <v>0</v>
      </c>
      <c r="F315" s="826">
        <f t="shared" si="55"/>
        <v>0</v>
      </c>
      <c r="G315" s="960">
        <f t="shared" si="56"/>
        <v>0</v>
      </c>
      <c r="H315" s="122">
        <f>'Print Return'!L$41</f>
        <v>0</v>
      </c>
      <c r="I315" s="293">
        <f>IF('Overflow (7)'!O23&lt;2015,MIN(G315,H315)/2,MIN(G315,H315))</f>
        <v>0</v>
      </c>
      <c r="J315" s="960">
        <f t="shared" si="57"/>
        <v>0</v>
      </c>
      <c r="K315" s="293">
        <f t="shared" si="58"/>
        <v>0</v>
      </c>
      <c r="L315" s="860">
        <f>LOOKUP('Overflow (7)'!$C23,Cities!$A$3:$A$356,Cities!$D$3:$D$356)</f>
        <v>0</v>
      </c>
      <c r="M315" s="861">
        <f t="shared" si="59"/>
        <v>0</v>
      </c>
      <c r="O315" s="271">
        <f>LOOKUP('Overflow (7)'!$C23,Cities!$A$3:$A$356,Cities!$C$3:$C$356)</f>
        <v>0</v>
      </c>
      <c r="P315" s="857">
        <f>IF('Overflow (7)'!O23&lt;2015,'Print Return'!L$45,J315)</f>
        <v>0</v>
      </c>
      <c r="Q315" s="858">
        <f>'Overflow (7)'!$M23</f>
        <v>0</v>
      </c>
      <c r="R315" s="859">
        <f t="shared" si="60"/>
        <v>0</v>
      </c>
      <c r="S315" s="825">
        <f>'Overflow (7)'!G77</f>
        <v>0</v>
      </c>
      <c r="T315" s="826">
        <f t="shared" si="61"/>
        <v>0</v>
      </c>
      <c r="U315" s="860">
        <f>LOOKUP('Overflow (7)'!$C23,Cities!$A$3:$A$356,Cities!$D$3:$D$356)</f>
        <v>0</v>
      </c>
      <c r="V315" s="861">
        <f t="shared" si="62"/>
        <v>0</v>
      </c>
    </row>
    <row r="316" spans="1:22" x14ac:dyDescent="0.2">
      <c r="A316" s="271">
        <f>LOOKUP('Overflow (7)'!$C24,Cities!$A$3:$A$356,Cities!$C$3:$C$356)</f>
        <v>0</v>
      </c>
      <c r="B316" s="959">
        <f>'Print Return'!L$37</f>
        <v>0</v>
      </c>
      <c r="C316" s="858">
        <f>'Overflow (7)'!$M24</f>
        <v>0</v>
      </c>
      <c r="D316" s="859">
        <f t="shared" si="54"/>
        <v>0</v>
      </c>
      <c r="E316" s="825">
        <f>'Overflow (7)'!G78</f>
        <v>0</v>
      </c>
      <c r="F316" s="826">
        <f t="shared" si="55"/>
        <v>0</v>
      </c>
      <c r="G316" s="960">
        <f t="shared" si="56"/>
        <v>0</v>
      </c>
      <c r="H316" s="122">
        <f>'Print Return'!L$41</f>
        <v>0</v>
      </c>
      <c r="I316" s="293">
        <f>IF('Overflow (7)'!O24&lt;2015,MIN(G316,H316)/2,MIN(G316,H316))</f>
        <v>0</v>
      </c>
      <c r="J316" s="960">
        <f t="shared" si="57"/>
        <v>0</v>
      </c>
      <c r="K316" s="293">
        <f t="shared" si="58"/>
        <v>0</v>
      </c>
      <c r="L316" s="860">
        <f>LOOKUP('Overflow (7)'!$C24,Cities!$A$3:$A$356,Cities!$D$3:$D$356)</f>
        <v>0</v>
      </c>
      <c r="M316" s="861">
        <f t="shared" si="59"/>
        <v>0</v>
      </c>
      <c r="O316" s="271">
        <f>LOOKUP('Overflow (7)'!$C24,Cities!$A$3:$A$356,Cities!$C$3:$C$356)</f>
        <v>0</v>
      </c>
      <c r="P316" s="857">
        <f>IF('Overflow (7)'!O24&lt;2015,'Print Return'!L$45,J316)</f>
        <v>0</v>
      </c>
      <c r="Q316" s="858">
        <f>'Overflow (7)'!$M24</f>
        <v>0</v>
      </c>
      <c r="R316" s="859">
        <f t="shared" si="60"/>
        <v>0</v>
      </c>
      <c r="S316" s="825">
        <f>'Overflow (7)'!G78</f>
        <v>0</v>
      </c>
      <c r="T316" s="826">
        <f t="shared" si="61"/>
        <v>0</v>
      </c>
      <c r="U316" s="860">
        <f>LOOKUP('Overflow (7)'!$C24,Cities!$A$3:$A$356,Cities!$D$3:$D$356)</f>
        <v>0</v>
      </c>
      <c r="V316" s="861">
        <f t="shared" si="62"/>
        <v>0</v>
      </c>
    </row>
    <row r="317" spans="1:22" x14ac:dyDescent="0.2">
      <c r="A317" s="271">
        <f>LOOKUP('Overflow (7)'!$C25,Cities!$A$3:$A$356,Cities!$C$3:$C$356)</f>
        <v>0</v>
      </c>
      <c r="B317" s="959">
        <f>'Print Return'!L$37</f>
        <v>0</v>
      </c>
      <c r="C317" s="858">
        <f>'Overflow (7)'!$M25</f>
        <v>0</v>
      </c>
      <c r="D317" s="859">
        <f t="shared" si="54"/>
        <v>0</v>
      </c>
      <c r="E317" s="825">
        <f>'Overflow (7)'!G79</f>
        <v>0</v>
      </c>
      <c r="F317" s="826">
        <f t="shared" si="55"/>
        <v>0</v>
      </c>
      <c r="G317" s="960">
        <f t="shared" si="56"/>
        <v>0</v>
      </c>
      <c r="H317" s="122">
        <f>'Print Return'!L$41</f>
        <v>0</v>
      </c>
      <c r="I317" s="293">
        <f>IF('Overflow (7)'!O25&lt;2015,MIN(G317,H317)/2,MIN(G317,H317))</f>
        <v>0</v>
      </c>
      <c r="J317" s="960">
        <f t="shared" si="57"/>
        <v>0</v>
      </c>
      <c r="K317" s="293">
        <f t="shared" si="58"/>
        <v>0</v>
      </c>
      <c r="L317" s="860">
        <f>LOOKUP('Overflow (7)'!$C25,Cities!$A$3:$A$356,Cities!$D$3:$D$356)</f>
        <v>0</v>
      </c>
      <c r="M317" s="861">
        <f t="shared" si="59"/>
        <v>0</v>
      </c>
      <c r="O317" s="271">
        <f>LOOKUP('Overflow (7)'!$C25,Cities!$A$3:$A$356,Cities!$C$3:$C$356)</f>
        <v>0</v>
      </c>
      <c r="P317" s="857">
        <f>IF('Overflow (7)'!O25&lt;2015,'Print Return'!L$45,J317)</f>
        <v>0</v>
      </c>
      <c r="Q317" s="858">
        <f>'Overflow (7)'!$M25</f>
        <v>0</v>
      </c>
      <c r="R317" s="859">
        <f t="shared" si="60"/>
        <v>0</v>
      </c>
      <c r="S317" s="825">
        <f>'Overflow (7)'!G79</f>
        <v>0</v>
      </c>
      <c r="T317" s="826">
        <f t="shared" si="61"/>
        <v>0</v>
      </c>
      <c r="U317" s="860">
        <f>LOOKUP('Overflow (7)'!$C25,Cities!$A$3:$A$356,Cities!$D$3:$D$356)</f>
        <v>0</v>
      </c>
      <c r="V317" s="861">
        <f t="shared" si="62"/>
        <v>0</v>
      </c>
    </row>
    <row r="318" spans="1:22" x14ac:dyDescent="0.2">
      <c r="A318" s="271">
        <f>LOOKUP('Overflow (7)'!$C26,Cities!$A$3:$A$356,Cities!$C$3:$C$356)</f>
        <v>0</v>
      </c>
      <c r="B318" s="959">
        <f>'Print Return'!L$37</f>
        <v>0</v>
      </c>
      <c r="C318" s="858">
        <f>'Overflow (7)'!$M26</f>
        <v>0</v>
      </c>
      <c r="D318" s="859">
        <f t="shared" si="54"/>
        <v>0</v>
      </c>
      <c r="E318" s="825">
        <f>'Overflow (7)'!G80</f>
        <v>0</v>
      </c>
      <c r="F318" s="826">
        <f t="shared" si="55"/>
        <v>0</v>
      </c>
      <c r="G318" s="960">
        <f t="shared" si="56"/>
        <v>0</v>
      </c>
      <c r="H318" s="122">
        <f>'Print Return'!L$41</f>
        <v>0</v>
      </c>
      <c r="I318" s="293">
        <f>IF('Overflow (7)'!O26&lt;2015,MIN(G318,H318)/2,MIN(G318,H318))</f>
        <v>0</v>
      </c>
      <c r="J318" s="960">
        <f t="shared" si="57"/>
        <v>0</v>
      </c>
      <c r="K318" s="293">
        <f t="shared" si="58"/>
        <v>0</v>
      </c>
      <c r="L318" s="860">
        <f>LOOKUP('Overflow (7)'!$C26,Cities!$A$3:$A$356,Cities!$D$3:$D$356)</f>
        <v>0</v>
      </c>
      <c r="M318" s="861">
        <f t="shared" si="59"/>
        <v>0</v>
      </c>
      <c r="O318" s="271">
        <f>LOOKUP('Overflow (7)'!$C26,Cities!$A$3:$A$356,Cities!$C$3:$C$356)</f>
        <v>0</v>
      </c>
      <c r="P318" s="857">
        <f>IF('Overflow (7)'!O26&lt;2015,'Print Return'!L$45,J318)</f>
        <v>0</v>
      </c>
      <c r="Q318" s="858">
        <f>'Overflow (7)'!$M26</f>
        <v>0</v>
      </c>
      <c r="R318" s="859">
        <f t="shared" si="60"/>
        <v>0</v>
      </c>
      <c r="S318" s="825">
        <f>'Overflow (7)'!G80</f>
        <v>0</v>
      </c>
      <c r="T318" s="826">
        <f t="shared" si="61"/>
        <v>0</v>
      </c>
      <c r="U318" s="860">
        <f>LOOKUP('Overflow (7)'!$C26,Cities!$A$3:$A$356,Cities!$D$3:$D$356)</f>
        <v>0</v>
      </c>
      <c r="V318" s="861">
        <f t="shared" si="62"/>
        <v>0</v>
      </c>
    </row>
    <row r="319" spans="1:22" x14ac:dyDescent="0.2">
      <c r="A319" s="271">
        <f>LOOKUP('Overflow (7)'!$C27,Cities!$A$3:$A$356,Cities!$C$3:$C$356)</f>
        <v>0</v>
      </c>
      <c r="B319" s="959">
        <f>'Print Return'!L$37</f>
        <v>0</v>
      </c>
      <c r="C319" s="858">
        <f>'Overflow (7)'!$M27</f>
        <v>0</v>
      </c>
      <c r="D319" s="859">
        <f t="shared" si="54"/>
        <v>0</v>
      </c>
      <c r="E319" s="825">
        <f>'Overflow (7)'!G81</f>
        <v>0</v>
      </c>
      <c r="F319" s="826">
        <f t="shared" si="55"/>
        <v>0</v>
      </c>
      <c r="G319" s="960">
        <f t="shared" si="56"/>
        <v>0</v>
      </c>
      <c r="H319" s="122">
        <f>'Print Return'!L$41</f>
        <v>0</v>
      </c>
      <c r="I319" s="293">
        <f>IF('Overflow (7)'!O27&lt;2015,MIN(G319,H319)/2,MIN(G319,H319))</f>
        <v>0</v>
      </c>
      <c r="J319" s="960">
        <f t="shared" si="57"/>
        <v>0</v>
      </c>
      <c r="K319" s="293">
        <f t="shared" si="58"/>
        <v>0</v>
      </c>
      <c r="L319" s="860">
        <f>LOOKUP('Overflow (7)'!$C27,Cities!$A$3:$A$356,Cities!$D$3:$D$356)</f>
        <v>0</v>
      </c>
      <c r="M319" s="861">
        <f t="shared" si="59"/>
        <v>0</v>
      </c>
      <c r="O319" s="271">
        <f>LOOKUP('Overflow (7)'!$C27,Cities!$A$3:$A$356,Cities!$C$3:$C$356)</f>
        <v>0</v>
      </c>
      <c r="P319" s="857">
        <f>IF('Overflow (7)'!O27&lt;2015,'Print Return'!L$45,J319)</f>
        <v>0</v>
      </c>
      <c r="Q319" s="858">
        <f>'Overflow (7)'!$M27</f>
        <v>0</v>
      </c>
      <c r="R319" s="859">
        <f t="shared" si="60"/>
        <v>0</v>
      </c>
      <c r="S319" s="825">
        <f>'Overflow (7)'!G81</f>
        <v>0</v>
      </c>
      <c r="T319" s="826">
        <f t="shared" si="61"/>
        <v>0</v>
      </c>
      <c r="U319" s="860">
        <f>LOOKUP('Overflow (7)'!$C27,Cities!$A$3:$A$356,Cities!$D$3:$D$356)</f>
        <v>0</v>
      </c>
      <c r="V319" s="861">
        <f t="shared" si="62"/>
        <v>0</v>
      </c>
    </row>
    <row r="320" spans="1:22" x14ac:dyDescent="0.2">
      <c r="A320" s="271">
        <f>LOOKUP('Overflow (7)'!$C28,Cities!$A$3:$A$356,Cities!$C$3:$C$356)</f>
        <v>0</v>
      </c>
      <c r="B320" s="959">
        <f>'Print Return'!L$37</f>
        <v>0</v>
      </c>
      <c r="C320" s="858">
        <f>'Overflow (7)'!$M28</f>
        <v>0</v>
      </c>
      <c r="D320" s="859">
        <f t="shared" si="54"/>
        <v>0</v>
      </c>
      <c r="E320" s="825">
        <f>'Overflow (7)'!G82</f>
        <v>0</v>
      </c>
      <c r="F320" s="826">
        <f t="shared" si="55"/>
        <v>0</v>
      </c>
      <c r="G320" s="960">
        <f t="shared" si="56"/>
        <v>0</v>
      </c>
      <c r="H320" s="122">
        <f>'Print Return'!L$41</f>
        <v>0</v>
      </c>
      <c r="I320" s="293">
        <f>IF('Overflow (7)'!O28&lt;2015,MIN(G320,H320)/2,MIN(G320,H320))</f>
        <v>0</v>
      </c>
      <c r="J320" s="960">
        <f t="shared" si="57"/>
        <v>0</v>
      </c>
      <c r="K320" s="293">
        <f t="shared" si="58"/>
        <v>0</v>
      </c>
      <c r="L320" s="860">
        <f>LOOKUP('Overflow (7)'!$C28,Cities!$A$3:$A$356,Cities!$D$3:$D$356)</f>
        <v>0</v>
      </c>
      <c r="M320" s="861">
        <f t="shared" si="59"/>
        <v>0</v>
      </c>
      <c r="O320" s="271">
        <f>LOOKUP('Overflow (7)'!$C28,Cities!$A$3:$A$356,Cities!$C$3:$C$356)</f>
        <v>0</v>
      </c>
      <c r="P320" s="857">
        <f>IF('Overflow (7)'!O28&lt;2015,'Print Return'!L$45,J320)</f>
        <v>0</v>
      </c>
      <c r="Q320" s="858">
        <f>'Overflow (7)'!$M28</f>
        <v>0</v>
      </c>
      <c r="R320" s="859">
        <f t="shared" si="60"/>
        <v>0</v>
      </c>
      <c r="S320" s="825">
        <f>'Overflow (7)'!G82</f>
        <v>0</v>
      </c>
      <c r="T320" s="826">
        <f t="shared" si="61"/>
        <v>0</v>
      </c>
      <c r="U320" s="860">
        <f>LOOKUP('Overflow (7)'!$C28,Cities!$A$3:$A$356,Cities!$D$3:$D$356)</f>
        <v>0</v>
      </c>
      <c r="V320" s="861">
        <f t="shared" si="62"/>
        <v>0</v>
      </c>
    </row>
    <row r="321" spans="1:22" x14ac:dyDescent="0.2">
      <c r="A321" s="271">
        <f>LOOKUP('Overflow (7)'!$C29,Cities!$A$3:$A$356,Cities!$C$3:$C$356)</f>
        <v>0</v>
      </c>
      <c r="B321" s="959">
        <f>'Print Return'!L$37</f>
        <v>0</v>
      </c>
      <c r="C321" s="858">
        <f>'Overflow (7)'!$M29</f>
        <v>0</v>
      </c>
      <c r="D321" s="859">
        <f t="shared" si="54"/>
        <v>0</v>
      </c>
      <c r="E321" s="825">
        <f>'Overflow (7)'!G83</f>
        <v>0</v>
      </c>
      <c r="F321" s="826">
        <f t="shared" si="55"/>
        <v>0</v>
      </c>
      <c r="G321" s="960">
        <f t="shared" si="56"/>
        <v>0</v>
      </c>
      <c r="H321" s="122">
        <f>'Print Return'!L$41</f>
        <v>0</v>
      </c>
      <c r="I321" s="293">
        <f>IF('Overflow (7)'!O29&lt;2015,MIN(G321,H321)/2,MIN(G321,H321))</f>
        <v>0</v>
      </c>
      <c r="J321" s="960">
        <f t="shared" si="57"/>
        <v>0</v>
      </c>
      <c r="K321" s="293">
        <f t="shared" si="58"/>
        <v>0</v>
      </c>
      <c r="L321" s="860">
        <f>LOOKUP('Overflow (7)'!$C29,Cities!$A$3:$A$356,Cities!$D$3:$D$356)</f>
        <v>0</v>
      </c>
      <c r="M321" s="861">
        <f t="shared" si="59"/>
        <v>0</v>
      </c>
      <c r="O321" s="271">
        <f>LOOKUP('Overflow (7)'!$C29,Cities!$A$3:$A$356,Cities!$C$3:$C$356)</f>
        <v>0</v>
      </c>
      <c r="P321" s="857">
        <f>IF('Overflow (7)'!O29&lt;2015,'Print Return'!L$45,J321)</f>
        <v>0</v>
      </c>
      <c r="Q321" s="858">
        <f>'Overflow (7)'!$M29</f>
        <v>0</v>
      </c>
      <c r="R321" s="859">
        <f t="shared" si="60"/>
        <v>0</v>
      </c>
      <c r="S321" s="825">
        <f>'Overflow (7)'!G83</f>
        <v>0</v>
      </c>
      <c r="T321" s="826">
        <f t="shared" si="61"/>
        <v>0</v>
      </c>
      <c r="U321" s="860">
        <f>LOOKUP('Overflow (7)'!$C29,Cities!$A$3:$A$356,Cities!$D$3:$D$356)</f>
        <v>0</v>
      </c>
      <c r="V321" s="861">
        <f t="shared" si="62"/>
        <v>0</v>
      </c>
    </row>
    <row r="322" spans="1:22" x14ac:dyDescent="0.2">
      <c r="A322" s="271">
        <f>LOOKUP('Overflow (7)'!$C30,Cities!$A$3:$A$356,Cities!$C$3:$C$356)</f>
        <v>0</v>
      </c>
      <c r="B322" s="959">
        <f>'Print Return'!L$37</f>
        <v>0</v>
      </c>
      <c r="C322" s="858">
        <f>'Overflow (7)'!$M30</f>
        <v>0</v>
      </c>
      <c r="D322" s="859">
        <f t="shared" si="54"/>
        <v>0</v>
      </c>
      <c r="E322" s="825">
        <f>'Overflow (7)'!G84</f>
        <v>0</v>
      </c>
      <c r="F322" s="826">
        <f t="shared" si="55"/>
        <v>0</v>
      </c>
      <c r="G322" s="960">
        <f t="shared" si="56"/>
        <v>0</v>
      </c>
      <c r="H322" s="122">
        <f>'Print Return'!L$41</f>
        <v>0</v>
      </c>
      <c r="I322" s="293">
        <f>IF('Overflow (7)'!O30&lt;2015,MIN(G322,H322)/2,MIN(G322,H322))</f>
        <v>0</v>
      </c>
      <c r="J322" s="960">
        <f t="shared" si="57"/>
        <v>0</v>
      </c>
      <c r="K322" s="293">
        <f t="shared" si="58"/>
        <v>0</v>
      </c>
      <c r="L322" s="860">
        <f>LOOKUP('Overflow (7)'!$C30,Cities!$A$3:$A$356,Cities!$D$3:$D$356)</f>
        <v>0</v>
      </c>
      <c r="M322" s="861">
        <f t="shared" si="59"/>
        <v>0</v>
      </c>
      <c r="O322" s="271">
        <f>LOOKUP('Overflow (7)'!$C30,Cities!$A$3:$A$356,Cities!$C$3:$C$356)</f>
        <v>0</v>
      </c>
      <c r="P322" s="857">
        <f>IF('Overflow (7)'!O30&lt;2015,'Print Return'!L$45,J322)</f>
        <v>0</v>
      </c>
      <c r="Q322" s="858">
        <f>'Overflow (7)'!$M30</f>
        <v>0</v>
      </c>
      <c r="R322" s="859">
        <f t="shared" si="60"/>
        <v>0</v>
      </c>
      <c r="S322" s="825">
        <f>'Overflow (7)'!G84</f>
        <v>0</v>
      </c>
      <c r="T322" s="826">
        <f t="shared" si="61"/>
        <v>0</v>
      </c>
      <c r="U322" s="860">
        <f>LOOKUP('Overflow (7)'!$C30,Cities!$A$3:$A$356,Cities!$D$3:$D$356)</f>
        <v>0</v>
      </c>
      <c r="V322" s="861">
        <f t="shared" si="62"/>
        <v>0</v>
      </c>
    </row>
    <row r="323" spans="1:22" x14ac:dyDescent="0.2">
      <c r="A323" s="271">
        <f>LOOKUP('Overflow (7)'!$C31,Cities!$A$3:$A$356,Cities!$C$3:$C$356)</f>
        <v>0</v>
      </c>
      <c r="B323" s="959">
        <f>'Print Return'!L$37</f>
        <v>0</v>
      </c>
      <c r="C323" s="858">
        <f>'Overflow (7)'!$M31</f>
        <v>0</v>
      </c>
      <c r="D323" s="859">
        <f t="shared" si="54"/>
        <v>0</v>
      </c>
      <c r="E323" s="825">
        <f>'Overflow (7)'!G85</f>
        <v>0</v>
      </c>
      <c r="F323" s="826">
        <f t="shared" si="55"/>
        <v>0</v>
      </c>
      <c r="G323" s="960">
        <f t="shared" si="56"/>
        <v>0</v>
      </c>
      <c r="H323" s="122">
        <f>'Print Return'!L$41</f>
        <v>0</v>
      </c>
      <c r="I323" s="293">
        <f>IF('Overflow (7)'!O31&lt;2015,MIN(G323,H323)/2,MIN(G323,H323))</f>
        <v>0</v>
      </c>
      <c r="J323" s="960">
        <f t="shared" si="57"/>
        <v>0</v>
      </c>
      <c r="K323" s="293">
        <f t="shared" si="58"/>
        <v>0</v>
      </c>
      <c r="L323" s="860">
        <f>LOOKUP('Overflow (7)'!$C31,Cities!$A$3:$A$356,Cities!$D$3:$D$356)</f>
        <v>0</v>
      </c>
      <c r="M323" s="861">
        <f t="shared" si="59"/>
        <v>0</v>
      </c>
      <c r="O323" s="271">
        <f>LOOKUP('Overflow (7)'!$C31,Cities!$A$3:$A$356,Cities!$C$3:$C$356)</f>
        <v>0</v>
      </c>
      <c r="P323" s="857">
        <f>IF('Overflow (7)'!O31&lt;2015,'Print Return'!L$45,J323)</f>
        <v>0</v>
      </c>
      <c r="Q323" s="858">
        <f>'Overflow (7)'!$M31</f>
        <v>0</v>
      </c>
      <c r="R323" s="859">
        <f t="shared" si="60"/>
        <v>0</v>
      </c>
      <c r="S323" s="825">
        <f>'Overflow (7)'!G85</f>
        <v>0</v>
      </c>
      <c r="T323" s="826">
        <f t="shared" si="61"/>
        <v>0</v>
      </c>
      <c r="U323" s="860">
        <f>LOOKUP('Overflow (7)'!$C31,Cities!$A$3:$A$356,Cities!$D$3:$D$356)</f>
        <v>0</v>
      </c>
      <c r="V323" s="861">
        <f t="shared" si="62"/>
        <v>0</v>
      </c>
    </row>
    <row r="324" spans="1:22" x14ac:dyDescent="0.2">
      <c r="A324" s="271">
        <f>LOOKUP('Overflow (7)'!$C32,Cities!$A$3:$A$356,Cities!$C$3:$C$356)</f>
        <v>0</v>
      </c>
      <c r="B324" s="959">
        <f>'Print Return'!L$37</f>
        <v>0</v>
      </c>
      <c r="C324" s="858">
        <f>'Overflow (7)'!$M32</f>
        <v>0</v>
      </c>
      <c r="D324" s="859">
        <f t="shared" si="54"/>
        <v>0</v>
      </c>
      <c r="E324" s="825">
        <f>'Overflow (7)'!G86</f>
        <v>0</v>
      </c>
      <c r="F324" s="826">
        <f t="shared" si="55"/>
        <v>0</v>
      </c>
      <c r="G324" s="960">
        <f t="shared" si="56"/>
        <v>0</v>
      </c>
      <c r="H324" s="122">
        <f>'Print Return'!L$41</f>
        <v>0</v>
      </c>
      <c r="I324" s="293">
        <f>IF('Overflow (7)'!O32&lt;2015,MIN(G324,H324)/2,MIN(G324,H324))</f>
        <v>0</v>
      </c>
      <c r="J324" s="960">
        <f t="shared" si="57"/>
        <v>0</v>
      </c>
      <c r="K324" s="293">
        <f t="shared" si="58"/>
        <v>0</v>
      </c>
      <c r="L324" s="860">
        <f>LOOKUP('Overflow (7)'!$C32,Cities!$A$3:$A$356,Cities!$D$3:$D$356)</f>
        <v>0</v>
      </c>
      <c r="M324" s="861">
        <f t="shared" si="59"/>
        <v>0</v>
      </c>
      <c r="O324" s="271">
        <f>LOOKUP('Overflow (7)'!$C32,Cities!$A$3:$A$356,Cities!$C$3:$C$356)</f>
        <v>0</v>
      </c>
      <c r="P324" s="857">
        <f>IF('Overflow (7)'!O32&lt;2015,'Print Return'!L$45,J324)</f>
        <v>0</v>
      </c>
      <c r="Q324" s="858">
        <f>'Overflow (7)'!$M32</f>
        <v>0</v>
      </c>
      <c r="R324" s="859">
        <f t="shared" si="60"/>
        <v>0</v>
      </c>
      <c r="S324" s="825">
        <f>'Overflow (7)'!G86</f>
        <v>0</v>
      </c>
      <c r="T324" s="826">
        <f t="shared" si="61"/>
        <v>0</v>
      </c>
      <c r="U324" s="860">
        <f>LOOKUP('Overflow (7)'!$C32,Cities!$A$3:$A$356,Cities!$D$3:$D$356)</f>
        <v>0</v>
      </c>
      <c r="V324" s="861">
        <f t="shared" si="62"/>
        <v>0</v>
      </c>
    </row>
    <row r="325" spans="1:22" x14ac:dyDescent="0.2">
      <c r="A325" s="271">
        <f>LOOKUP('Overflow (7)'!$C33,Cities!$A$3:$A$356,Cities!$C$3:$C$356)</f>
        <v>0</v>
      </c>
      <c r="B325" s="959">
        <f>'Print Return'!L$37</f>
        <v>0</v>
      </c>
      <c r="C325" s="858">
        <f>'Overflow (7)'!$M33</f>
        <v>0</v>
      </c>
      <c r="D325" s="859">
        <f t="shared" si="54"/>
        <v>0</v>
      </c>
      <c r="E325" s="825">
        <f>'Overflow (7)'!G87</f>
        <v>0</v>
      </c>
      <c r="F325" s="826">
        <f t="shared" si="55"/>
        <v>0</v>
      </c>
      <c r="G325" s="960">
        <f t="shared" si="56"/>
        <v>0</v>
      </c>
      <c r="H325" s="122">
        <f>'Print Return'!L$41</f>
        <v>0</v>
      </c>
      <c r="I325" s="293">
        <f>IF('Overflow (7)'!O33&lt;2015,MIN(G325,H325)/2,MIN(G325,H325))</f>
        <v>0</v>
      </c>
      <c r="J325" s="960">
        <f t="shared" si="57"/>
        <v>0</v>
      </c>
      <c r="K325" s="293">
        <f t="shared" si="58"/>
        <v>0</v>
      </c>
      <c r="L325" s="860">
        <f>LOOKUP('Overflow (7)'!$C33,Cities!$A$3:$A$356,Cities!$D$3:$D$356)</f>
        <v>0</v>
      </c>
      <c r="M325" s="861">
        <f t="shared" si="59"/>
        <v>0</v>
      </c>
      <c r="O325" s="271">
        <f>LOOKUP('Overflow (7)'!$C33,Cities!$A$3:$A$356,Cities!$C$3:$C$356)</f>
        <v>0</v>
      </c>
      <c r="P325" s="857">
        <f>IF('Overflow (7)'!O33&lt;2015,'Print Return'!L$45,J325)</f>
        <v>0</v>
      </c>
      <c r="Q325" s="858">
        <f>'Overflow (7)'!$M33</f>
        <v>0</v>
      </c>
      <c r="R325" s="859">
        <f t="shared" si="60"/>
        <v>0</v>
      </c>
      <c r="S325" s="825">
        <f>'Overflow (7)'!G87</f>
        <v>0</v>
      </c>
      <c r="T325" s="826">
        <f t="shared" si="61"/>
        <v>0</v>
      </c>
      <c r="U325" s="860">
        <f>LOOKUP('Overflow (7)'!$C33,Cities!$A$3:$A$356,Cities!$D$3:$D$356)</f>
        <v>0</v>
      </c>
      <c r="V325" s="861">
        <f t="shared" si="62"/>
        <v>0</v>
      </c>
    </row>
    <row r="326" spans="1:22" x14ac:dyDescent="0.2">
      <c r="A326" s="271">
        <f>LOOKUP('Overflow (7)'!$C34,Cities!$A$3:$A$356,Cities!$C$3:$C$356)</f>
        <v>0</v>
      </c>
      <c r="B326" s="959">
        <f>'Print Return'!L$37</f>
        <v>0</v>
      </c>
      <c r="C326" s="858">
        <f>'Overflow (7)'!$M34</f>
        <v>0</v>
      </c>
      <c r="D326" s="859">
        <f t="shared" si="54"/>
        <v>0</v>
      </c>
      <c r="E326" s="825">
        <f>'Overflow (7)'!G88</f>
        <v>0</v>
      </c>
      <c r="F326" s="826">
        <f t="shared" si="55"/>
        <v>0</v>
      </c>
      <c r="G326" s="960">
        <f t="shared" si="56"/>
        <v>0</v>
      </c>
      <c r="H326" s="122">
        <f>'Print Return'!L$41</f>
        <v>0</v>
      </c>
      <c r="I326" s="293">
        <f>IF('Overflow (7)'!O34&lt;2015,MIN(G326,H326)/2,MIN(G326,H326))</f>
        <v>0</v>
      </c>
      <c r="J326" s="960">
        <f t="shared" si="57"/>
        <v>0</v>
      </c>
      <c r="K326" s="293">
        <f t="shared" si="58"/>
        <v>0</v>
      </c>
      <c r="L326" s="860">
        <f>LOOKUP('Overflow (7)'!$C34,Cities!$A$3:$A$356,Cities!$D$3:$D$356)</f>
        <v>0</v>
      </c>
      <c r="M326" s="861">
        <f t="shared" si="59"/>
        <v>0</v>
      </c>
      <c r="O326" s="271">
        <f>LOOKUP('Overflow (7)'!$C34,Cities!$A$3:$A$356,Cities!$C$3:$C$356)</f>
        <v>0</v>
      </c>
      <c r="P326" s="857">
        <f>IF('Overflow (7)'!O34&lt;2015,'Print Return'!L$45,J326)</f>
        <v>0</v>
      </c>
      <c r="Q326" s="858">
        <f>'Overflow (7)'!$M34</f>
        <v>0</v>
      </c>
      <c r="R326" s="859">
        <f t="shared" si="60"/>
        <v>0</v>
      </c>
      <c r="S326" s="825">
        <f>'Overflow (7)'!G88</f>
        <v>0</v>
      </c>
      <c r="T326" s="826">
        <f t="shared" si="61"/>
        <v>0</v>
      </c>
      <c r="U326" s="860">
        <f>LOOKUP('Overflow (7)'!$C34,Cities!$A$3:$A$356,Cities!$D$3:$D$356)</f>
        <v>0</v>
      </c>
      <c r="V326" s="861">
        <f t="shared" si="62"/>
        <v>0</v>
      </c>
    </row>
    <row r="327" spans="1:22" x14ac:dyDescent="0.2">
      <c r="A327" s="271">
        <f>LOOKUP('Overflow (7)'!$C35,Cities!$A$3:$A$356,Cities!$C$3:$C$356)</f>
        <v>0</v>
      </c>
      <c r="B327" s="959">
        <f>'Print Return'!L$37</f>
        <v>0</v>
      </c>
      <c r="C327" s="858">
        <f>'Overflow (7)'!$M35</f>
        <v>0</v>
      </c>
      <c r="D327" s="859">
        <f t="shared" si="54"/>
        <v>0</v>
      </c>
      <c r="E327" s="825">
        <f>'Overflow (7)'!G89</f>
        <v>0</v>
      </c>
      <c r="F327" s="826">
        <f t="shared" si="55"/>
        <v>0</v>
      </c>
      <c r="G327" s="960">
        <f t="shared" si="56"/>
        <v>0</v>
      </c>
      <c r="H327" s="122">
        <f>'Print Return'!L$41</f>
        <v>0</v>
      </c>
      <c r="I327" s="293">
        <f>IF('Overflow (7)'!O35&lt;2015,MIN(G327,H327)/2,MIN(G327,H327))</f>
        <v>0</v>
      </c>
      <c r="J327" s="960">
        <f t="shared" si="57"/>
        <v>0</v>
      </c>
      <c r="K327" s="293">
        <f t="shared" si="58"/>
        <v>0</v>
      </c>
      <c r="L327" s="860">
        <f>LOOKUP('Overflow (7)'!$C35,Cities!$A$3:$A$356,Cities!$D$3:$D$356)</f>
        <v>0</v>
      </c>
      <c r="M327" s="861">
        <f t="shared" si="59"/>
        <v>0</v>
      </c>
      <c r="O327" s="271">
        <f>LOOKUP('Overflow (7)'!$C35,Cities!$A$3:$A$356,Cities!$C$3:$C$356)</f>
        <v>0</v>
      </c>
      <c r="P327" s="857">
        <f>IF('Overflow (7)'!O35&lt;2015,'Print Return'!L$45,J327)</f>
        <v>0</v>
      </c>
      <c r="Q327" s="858">
        <f>'Overflow (7)'!$M35</f>
        <v>0</v>
      </c>
      <c r="R327" s="859">
        <f t="shared" si="60"/>
        <v>0</v>
      </c>
      <c r="S327" s="825">
        <f>'Overflow (7)'!G89</f>
        <v>0</v>
      </c>
      <c r="T327" s="826">
        <f t="shared" si="61"/>
        <v>0</v>
      </c>
      <c r="U327" s="860">
        <f>LOOKUP('Overflow (7)'!$C35,Cities!$A$3:$A$356,Cities!$D$3:$D$356)</f>
        <v>0</v>
      </c>
      <c r="V327" s="861">
        <f t="shared" si="62"/>
        <v>0</v>
      </c>
    </row>
    <row r="328" spans="1:22" x14ac:dyDescent="0.2">
      <c r="A328" s="271">
        <f>LOOKUP('Overflow (7)'!$C36,Cities!$A$3:$A$356,Cities!$C$3:$C$356)</f>
        <v>0</v>
      </c>
      <c r="B328" s="959">
        <f>'Print Return'!L$37</f>
        <v>0</v>
      </c>
      <c r="C328" s="858">
        <f>'Overflow (7)'!$M36</f>
        <v>0</v>
      </c>
      <c r="D328" s="859">
        <f t="shared" si="54"/>
        <v>0</v>
      </c>
      <c r="E328" s="825">
        <f>'Overflow (7)'!G90</f>
        <v>0</v>
      </c>
      <c r="F328" s="826">
        <f t="shared" si="55"/>
        <v>0</v>
      </c>
      <c r="G328" s="960">
        <f t="shared" si="56"/>
        <v>0</v>
      </c>
      <c r="H328" s="122">
        <f>'Print Return'!L$41</f>
        <v>0</v>
      </c>
      <c r="I328" s="293">
        <f>IF('Overflow (7)'!O36&lt;2015,MIN(G328,H328)/2,MIN(G328,H328))</f>
        <v>0</v>
      </c>
      <c r="J328" s="960">
        <f t="shared" si="57"/>
        <v>0</v>
      </c>
      <c r="K328" s="293">
        <f t="shared" si="58"/>
        <v>0</v>
      </c>
      <c r="L328" s="860">
        <f>LOOKUP('Overflow (7)'!$C36,Cities!$A$3:$A$356,Cities!$D$3:$D$356)</f>
        <v>0</v>
      </c>
      <c r="M328" s="861">
        <f t="shared" si="59"/>
        <v>0</v>
      </c>
      <c r="O328" s="271">
        <f>LOOKUP('Overflow (7)'!$C36,Cities!$A$3:$A$356,Cities!$C$3:$C$356)</f>
        <v>0</v>
      </c>
      <c r="P328" s="857">
        <f>IF('Overflow (7)'!O36&lt;2015,'Print Return'!L$45,J328)</f>
        <v>0</v>
      </c>
      <c r="Q328" s="858">
        <f>'Overflow (7)'!$M36</f>
        <v>0</v>
      </c>
      <c r="R328" s="859">
        <f t="shared" si="60"/>
        <v>0</v>
      </c>
      <c r="S328" s="825">
        <f>'Overflow (7)'!G90</f>
        <v>0</v>
      </c>
      <c r="T328" s="826">
        <f t="shared" si="61"/>
        <v>0</v>
      </c>
      <c r="U328" s="860">
        <f>LOOKUP('Overflow (7)'!$C36,Cities!$A$3:$A$356,Cities!$D$3:$D$356)</f>
        <v>0</v>
      </c>
      <c r="V328" s="861">
        <f t="shared" si="62"/>
        <v>0</v>
      </c>
    </row>
    <row r="329" spans="1:22" x14ac:dyDescent="0.2">
      <c r="A329" s="271">
        <f>LOOKUP('Overflow (7)'!$C37,Cities!$A$3:$A$356,Cities!$C$3:$C$356)</f>
        <v>0</v>
      </c>
      <c r="B329" s="959">
        <f>'Print Return'!L$37</f>
        <v>0</v>
      </c>
      <c r="C329" s="858">
        <f>'Overflow (7)'!$M37</f>
        <v>0</v>
      </c>
      <c r="D329" s="859">
        <f t="shared" si="54"/>
        <v>0</v>
      </c>
      <c r="E329" s="825">
        <f>'Overflow (7)'!G91</f>
        <v>0</v>
      </c>
      <c r="F329" s="826">
        <f t="shared" si="55"/>
        <v>0</v>
      </c>
      <c r="G329" s="960">
        <f t="shared" si="56"/>
        <v>0</v>
      </c>
      <c r="H329" s="122">
        <f>'Print Return'!L$41</f>
        <v>0</v>
      </c>
      <c r="I329" s="293">
        <f>IF('Overflow (7)'!O37&lt;2015,MIN(G329,H329)/2,MIN(G329,H329))</f>
        <v>0</v>
      </c>
      <c r="J329" s="960">
        <f t="shared" si="57"/>
        <v>0</v>
      </c>
      <c r="K329" s="293">
        <f t="shared" si="58"/>
        <v>0</v>
      </c>
      <c r="L329" s="860">
        <f>LOOKUP('Overflow (7)'!$C37,Cities!$A$3:$A$356,Cities!$D$3:$D$356)</f>
        <v>0</v>
      </c>
      <c r="M329" s="861">
        <f t="shared" si="59"/>
        <v>0</v>
      </c>
      <c r="O329" s="271">
        <f>LOOKUP('Overflow (7)'!$C37,Cities!$A$3:$A$356,Cities!$C$3:$C$356)</f>
        <v>0</v>
      </c>
      <c r="P329" s="857">
        <f>IF('Overflow (7)'!O37&lt;2015,'Print Return'!L$45,J329)</f>
        <v>0</v>
      </c>
      <c r="Q329" s="858">
        <f>'Overflow (7)'!$M37</f>
        <v>0</v>
      </c>
      <c r="R329" s="859">
        <f t="shared" si="60"/>
        <v>0</v>
      </c>
      <c r="S329" s="825">
        <f>'Overflow (7)'!G91</f>
        <v>0</v>
      </c>
      <c r="T329" s="826">
        <f t="shared" si="61"/>
        <v>0</v>
      </c>
      <c r="U329" s="860">
        <f>LOOKUP('Overflow (7)'!$C37,Cities!$A$3:$A$356,Cities!$D$3:$D$356)</f>
        <v>0</v>
      </c>
      <c r="V329" s="861">
        <f t="shared" si="62"/>
        <v>0</v>
      </c>
    </row>
    <row r="330" spans="1:22" x14ac:dyDescent="0.2">
      <c r="A330" s="271">
        <f>LOOKUP('Overflow (7)'!$C38,Cities!$A$3:$A$356,Cities!$C$3:$C$356)</f>
        <v>0</v>
      </c>
      <c r="B330" s="959">
        <f>'Print Return'!L$37</f>
        <v>0</v>
      </c>
      <c r="C330" s="858">
        <f>'Overflow (7)'!$M38</f>
        <v>0</v>
      </c>
      <c r="D330" s="859">
        <f t="shared" si="54"/>
        <v>0</v>
      </c>
      <c r="E330" s="825">
        <f>'Overflow (7)'!G92</f>
        <v>0</v>
      </c>
      <c r="F330" s="826">
        <f t="shared" si="55"/>
        <v>0</v>
      </c>
      <c r="G330" s="960">
        <f t="shared" si="56"/>
        <v>0</v>
      </c>
      <c r="H330" s="122">
        <f>'Print Return'!L$41</f>
        <v>0</v>
      </c>
      <c r="I330" s="293">
        <f>IF('Overflow (7)'!O38&lt;2015,MIN(G330,H330)/2,MIN(G330,H330))</f>
        <v>0</v>
      </c>
      <c r="J330" s="960">
        <f t="shared" si="57"/>
        <v>0</v>
      </c>
      <c r="K330" s="293">
        <f t="shared" si="58"/>
        <v>0</v>
      </c>
      <c r="L330" s="860">
        <f>LOOKUP('Overflow (7)'!$C38,Cities!$A$3:$A$356,Cities!$D$3:$D$356)</f>
        <v>0</v>
      </c>
      <c r="M330" s="861">
        <f t="shared" si="59"/>
        <v>0</v>
      </c>
      <c r="O330" s="271">
        <f>LOOKUP('Overflow (7)'!$C38,Cities!$A$3:$A$356,Cities!$C$3:$C$356)</f>
        <v>0</v>
      </c>
      <c r="P330" s="857">
        <f>IF('Overflow (7)'!O38&lt;2015,'Print Return'!L$45,J330)</f>
        <v>0</v>
      </c>
      <c r="Q330" s="858">
        <f>'Overflow (7)'!$M38</f>
        <v>0</v>
      </c>
      <c r="R330" s="859">
        <f t="shared" si="60"/>
        <v>0</v>
      </c>
      <c r="S330" s="825">
        <f>'Overflow (7)'!G92</f>
        <v>0</v>
      </c>
      <c r="T330" s="826">
        <f t="shared" si="61"/>
        <v>0</v>
      </c>
      <c r="U330" s="860">
        <f>LOOKUP('Overflow (7)'!$C38,Cities!$A$3:$A$356,Cities!$D$3:$D$356)</f>
        <v>0</v>
      </c>
      <c r="V330" s="861">
        <f t="shared" si="62"/>
        <v>0</v>
      </c>
    </row>
    <row r="331" spans="1:22" x14ac:dyDescent="0.2">
      <c r="A331" s="271">
        <f>LOOKUP('Overflow (7)'!$C39,Cities!$A$3:$A$356,Cities!$C$3:$C$356)</f>
        <v>0</v>
      </c>
      <c r="B331" s="959">
        <f>'Print Return'!L$37</f>
        <v>0</v>
      </c>
      <c r="C331" s="858">
        <f>'Overflow (7)'!$M39</f>
        <v>0</v>
      </c>
      <c r="D331" s="859">
        <f t="shared" si="54"/>
        <v>0</v>
      </c>
      <c r="E331" s="825">
        <f>'Overflow (7)'!G93</f>
        <v>0</v>
      </c>
      <c r="F331" s="826">
        <f t="shared" si="55"/>
        <v>0</v>
      </c>
      <c r="G331" s="960">
        <f t="shared" si="56"/>
        <v>0</v>
      </c>
      <c r="H331" s="122">
        <f>'Print Return'!L$41</f>
        <v>0</v>
      </c>
      <c r="I331" s="293">
        <f>IF('Overflow (7)'!O39&lt;2015,MIN(G331,H331)/2,MIN(G331,H331))</f>
        <v>0</v>
      </c>
      <c r="J331" s="960">
        <f t="shared" si="57"/>
        <v>0</v>
      </c>
      <c r="K331" s="293">
        <f t="shared" si="58"/>
        <v>0</v>
      </c>
      <c r="L331" s="860">
        <f>LOOKUP('Overflow (7)'!$C39,Cities!$A$3:$A$356,Cities!$D$3:$D$356)</f>
        <v>0</v>
      </c>
      <c r="M331" s="861">
        <f t="shared" si="59"/>
        <v>0</v>
      </c>
      <c r="O331" s="271">
        <f>LOOKUP('Overflow (7)'!$C39,Cities!$A$3:$A$356,Cities!$C$3:$C$356)</f>
        <v>0</v>
      </c>
      <c r="P331" s="857">
        <f>IF('Overflow (7)'!O39&lt;2015,'Print Return'!L$45,J331)</f>
        <v>0</v>
      </c>
      <c r="Q331" s="858">
        <f>'Overflow (7)'!$M39</f>
        <v>0</v>
      </c>
      <c r="R331" s="859">
        <f t="shared" si="60"/>
        <v>0</v>
      </c>
      <c r="S331" s="825">
        <f>'Overflow (7)'!G93</f>
        <v>0</v>
      </c>
      <c r="T331" s="826">
        <f t="shared" si="61"/>
        <v>0</v>
      </c>
      <c r="U331" s="860">
        <f>LOOKUP('Overflow (7)'!$C39,Cities!$A$3:$A$356,Cities!$D$3:$D$356)</f>
        <v>0</v>
      </c>
      <c r="V331" s="861">
        <f t="shared" si="62"/>
        <v>0</v>
      </c>
    </row>
    <row r="332" spans="1:22" x14ac:dyDescent="0.2">
      <c r="A332" s="271">
        <f>LOOKUP('Overflow (7)'!$C40,Cities!$A$3:$A$356,Cities!$C$3:$C$356)</f>
        <v>0</v>
      </c>
      <c r="B332" s="959">
        <f>'Print Return'!L$37</f>
        <v>0</v>
      </c>
      <c r="C332" s="858">
        <f>'Overflow (7)'!$M40</f>
        <v>0</v>
      </c>
      <c r="D332" s="859">
        <f t="shared" si="54"/>
        <v>0</v>
      </c>
      <c r="E332" s="825">
        <f>'Overflow (7)'!G94</f>
        <v>0</v>
      </c>
      <c r="F332" s="826">
        <f t="shared" si="55"/>
        <v>0</v>
      </c>
      <c r="G332" s="960">
        <f t="shared" si="56"/>
        <v>0</v>
      </c>
      <c r="H332" s="122">
        <f>'Print Return'!L$41</f>
        <v>0</v>
      </c>
      <c r="I332" s="293">
        <f>IF('Overflow (7)'!O40&lt;2015,MIN(G332,H332)/2,MIN(G332,H332))</f>
        <v>0</v>
      </c>
      <c r="J332" s="960">
        <f t="shared" si="57"/>
        <v>0</v>
      </c>
      <c r="K332" s="293">
        <f t="shared" si="58"/>
        <v>0</v>
      </c>
      <c r="L332" s="860">
        <f>LOOKUP('Overflow (7)'!$C40,Cities!$A$3:$A$356,Cities!$D$3:$D$356)</f>
        <v>0</v>
      </c>
      <c r="M332" s="861">
        <f t="shared" si="59"/>
        <v>0</v>
      </c>
      <c r="O332" s="271">
        <f>LOOKUP('Overflow (7)'!$C40,Cities!$A$3:$A$356,Cities!$C$3:$C$356)</f>
        <v>0</v>
      </c>
      <c r="P332" s="857">
        <f>IF('Overflow (7)'!O40&lt;2015,'Print Return'!L$45,J332)</f>
        <v>0</v>
      </c>
      <c r="Q332" s="858">
        <f>'Overflow (7)'!$M40</f>
        <v>0</v>
      </c>
      <c r="R332" s="859">
        <f t="shared" si="60"/>
        <v>0</v>
      </c>
      <c r="S332" s="825">
        <f>'Overflow (7)'!G94</f>
        <v>0</v>
      </c>
      <c r="T332" s="826">
        <f t="shared" si="61"/>
        <v>0</v>
      </c>
      <c r="U332" s="860">
        <f>LOOKUP('Overflow (7)'!$C40,Cities!$A$3:$A$356,Cities!$D$3:$D$356)</f>
        <v>0</v>
      </c>
      <c r="V332" s="861">
        <f t="shared" si="62"/>
        <v>0</v>
      </c>
    </row>
    <row r="333" spans="1:22" x14ac:dyDescent="0.2">
      <c r="A333" s="271">
        <f>LOOKUP('Overflow (7)'!$C41,Cities!$A$3:$A$356,Cities!$C$3:$C$356)</f>
        <v>0</v>
      </c>
      <c r="B333" s="959">
        <f>'Print Return'!L$37</f>
        <v>0</v>
      </c>
      <c r="C333" s="858">
        <f>'Overflow (7)'!$M41</f>
        <v>0</v>
      </c>
      <c r="D333" s="859">
        <f t="shared" si="54"/>
        <v>0</v>
      </c>
      <c r="E333" s="825">
        <f>'Overflow (7)'!G95</f>
        <v>0</v>
      </c>
      <c r="F333" s="826">
        <f t="shared" si="55"/>
        <v>0</v>
      </c>
      <c r="G333" s="960">
        <f t="shared" si="56"/>
        <v>0</v>
      </c>
      <c r="H333" s="122">
        <f>'Print Return'!L$41</f>
        <v>0</v>
      </c>
      <c r="I333" s="293">
        <f>IF('Overflow (7)'!O41&lt;2015,MIN(G333,H333)/2,MIN(G333,H333))</f>
        <v>0</v>
      </c>
      <c r="J333" s="960">
        <f t="shared" si="57"/>
        <v>0</v>
      </c>
      <c r="K333" s="293">
        <f t="shared" si="58"/>
        <v>0</v>
      </c>
      <c r="L333" s="860">
        <f>LOOKUP('Overflow (7)'!$C41,Cities!$A$3:$A$356,Cities!$D$3:$D$356)</f>
        <v>0</v>
      </c>
      <c r="M333" s="861">
        <f t="shared" si="59"/>
        <v>0</v>
      </c>
      <c r="O333" s="271">
        <f>LOOKUP('Overflow (7)'!$C41,Cities!$A$3:$A$356,Cities!$C$3:$C$356)</f>
        <v>0</v>
      </c>
      <c r="P333" s="857">
        <f>IF('Overflow (7)'!O41&lt;2015,'Print Return'!L$45,J333)</f>
        <v>0</v>
      </c>
      <c r="Q333" s="858">
        <f>'Overflow (7)'!$M41</f>
        <v>0</v>
      </c>
      <c r="R333" s="859">
        <f t="shared" si="60"/>
        <v>0</v>
      </c>
      <c r="S333" s="825">
        <f>'Overflow (7)'!G95</f>
        <v>0</v>
      </c>
      <c r="T333" s="826">
        <f t="shared" si="61"/>
        <v>0</v>
      </c>
      <c r="U333" s="860">
        <f>LOOKUP('Overflow (7)'!$C41,Cities!$A$3:$A$356,Cities!$D$3:$D$356)</f>
        <v>0</v>
      </c>
      <c r="V333" s="861">
        <f t="shared" si="62"/>
        <v>0</v>
      </c>
    </row>
    <row r="334" spans="1:22" x14ac:dyDescent="0.2">
      <c r="A334" s="271">
        <f>LOOKUP('Overflow (7)'!$C42,Cities!$A$3:$A$356,Cities!$C$3:$C$356)</f>
        <v>0</v>
      </c>
      <c r="B334" s="959">
        <f>'Print Return'!L$37</f>
        <v>0</v>
      </c>
      <c r="C334" s="858">
        <f>'Overflow (7)'!$M42</f>
        <v>0</v>
      </c>
      <c r="D334" s="859">
        <f t="shared" si="54"/>
        <v>0</v>
      </c>
      <c r="E334" s="825">
        <f>'Overflow (7)'!G96</f>
        <v>0</v>
      </c>
      <c r="F334" s="826">
        <f t="shared" si="55"/>
        <v>0</v>
      </c>
      <c r="G334" s="960">
        <f t="shared" si="56"/>
        <v>0</v>
      </c>
      <c r="H334" s="122">
        <f>'Print Return'!L$41</f>
        <v>0</v>
      </c>
      <c r="I334" s="293">
        <f>IF('Overflow (7)'!O42&lt;2015,MIN(G334,H334)/2,MIN(G334,H334))</f>
        <v>0</v>
      </c>
      <c r="J334" s="960">
        <f t="shared" si="57"/>
        <v>0</v>
      </c>
      <c r="K334" s="293">
        <f t="shared" si="58"/>
        <v>0</v>
      </c>
      <c r="L334" s="860">
        <f>LOOKUP('Overflow (7)'!$C42,Cities!$A$3:$A$356,Cities!$D$3:$D$356)</f>
        <v>0</v>
      </c>
      <c r="M334" s="861">
        <f t="shared" si="59"/>
        <v>0</v>
      </c>
      <c r="O334" s="271">
        <f>LOOKUP('Overflow (7)'!$C42,Cities!$A$3:$A$356,Cities!$C$3:$C$356)</f>
        <v>0</v>
      </c>
      <c r="P334" s="857">
        <f>IF('Overflow (7)'!O42&lt;2015,'Print Return'!L$45,J334)</f>
        <v>0</v>
      </c>
      <c r="Q334" s="858">
        <f>'Overflow (7)'!$M42</f>
        <v>0</v>
      </c>
      <c r="R334" s="859">
        <f t="shared" si="60"/>
        <v>0</v>
      </c>
      <c r="S334" s="825">
        <f>'Overflow (7)'!G96</f>
        <v>0</v>
      </c>
      <c r="T334" s="826">
        <f t="shared" si="61"/>
        <v>0</v>
      </c>
      <c r="U334" s="860">
        <f>LOOKUP('Overflow (7)'!$C42,Cities!$A$3:$A$356,Cities!$D$3:$D$356)</f>
        <v>0</v>
      </c>
      <c r="V334" s="861">
        <f t="shared" si="62"/>
        <v>0</v>
      </c>
    </row>
    <row r="335" spans="1:22" x14ac:dyDescent="0.2">
      <c r="A335" s="271">
        <f>LOOKUP('Overflow (7)'!$C43,Cities!$A$3:$A$356,Cities!$C$3:$C$356)</f>
        <v>0</v>
      </c>
      <c r="B335" s="959">
        <f>'Print Return'!L$37</f>
        <v>0</v>
      </c>
      <c r="C335" s="858">
        <f>'Overflow (7)'!$M43</f>
        <v>0</v>
      </c>
      <c r="D335" s="859">
        <f t="shared" si="54"/>
        <v>0</v>
      </c>
      <c r="E335" s="825">
        <f>'Overflow (7)'!G97</f>
        <v>0</v>
      </c>
      <c r="F335" s="826">
        <f t="shared" si="55"/>
        <v>0</v>
      </c>
      <c r="G335" s="960">
        <f t="shared" si="56"/>
        <v>0</v>
      </c>
      <c r="H335" s="122">
        <f>'Print Return'!L$41</f>
        <v>0</v>
      </c>
      <c r="I335" s="293">
        <f>IF('Overflow (7)'!O43&lt;2015,MIN(G335,H335)/2,MIN(G335,H335))</f>
        <v>0</v>
      </c>
      <c r="J335" s="960">
        <f t="shared" si="57"/>
        <v>0</v>
      </c>
      <c r="K335" s="293">
        <f t="shared" si="58"/>
        <v>0</v>
      </c>
      <c r="L335" s="860">
        <f>LOOKUP('Overflow (7)'!$C43,Cities!$A$3:$A$356,Cities!$D$3:$D$356)</f>
        <v>0</v>
      </c>
      <c r="M335" s="861">
        <f t="shared" si="59"/>
        <v>0</v>
      </c>
      <c r="O335" s="271">
        <f>LOOKUP('Overflow (7)'!$C43,Cities!$A$3:$A$356,Cities!$C$3:$C$356)</f>
        <v>0</v>
      </c>
      <c r="P335" s="857">
        <f>IF('Overflow (7)'!O43&lt;2015,'Print Return'!L$45,J335)</f>
        <v>0</v>
      </c>
      <c r="Q335" s="858">
        <f>'Overflow (7)'!$M43</f>
        <v>0</v>
      </c>
      <c r="R335" s="859">
        <f t="shared" si="60"/>
        <v>0</v>
      </c>
      <c r="S335" s="825">
        <f>'Overflow (7)'!G97</f>
        <v>0</v>
      </c>
      <c r="T335" s="826">
        <f t="shared" si="61"/>
        <v>0</v>
      </c>
      <c r="U335" s="860">
        <f>LOOKUP('Overflow (7)'!$C43,Cities!$A$3:$A$356,Cities!$D$3:$D$356)</f>
        <v>0</v>
      </c>
      <c r="V335" s="861">
        <f t="shared" si="62"/>
        <v>0</v>
      </c>
    </row>
    <row r="336" spans="1:22" x14ac:dyDescent="0.2">
      <c r="A336" s="271">
        <f>LOOKUP('Overflow (7)'!$C44,Cities!$A$3:$A$356,Cities!$C$3:$C$356)</f>
        <v>0</v>
      </c>
      <c r="B336" s="959">
        <f>'Print Return'!L$37</f>
        <v>0</v>
      </c>
      <c r="C336" s="858">
        <f>'Overflow (7)'!$M44</f>
        <v>0</v>
      </c>
      <c r="D336" s="859">
        <f t="shared" si="54"/>
        <v>0</v>
      </c>
      <c r="E336" s="825">
        <f>'Overflow (7)'!G98</f>
        <v>0</v>
      </c>
      <c r="F336" s="826">
        <f t="shared" si="55"/>
        <v>0</v>
      </c>
      <c r="G336" s="960">
        <f t="shared" si="56"/>
        <v>0</v>
      </c>
      <c r="H336" s="122">
        <f>'Print Return'!L$41</f>
        <v>0</v>
      </c>
      <c r="I336" s="293">
        <f>IF('Overflow (7)'!O44&lt;2015,MIN(G336,H336)/2,MIN(G336,H336))</f>
        <v>0</v>
      </c>
      <c r="J336" s="960">
        <f t="shared" si="57"/>
        <v>0</v>
      </c>
      <c r="K336" s="293">
        <f t="shared" si="58"/>
        <v>0</v>
      </c>
      <c r="L336" s="860">
        <f>LOOKUP('Overflow (7)'!$C44,Cities!$A$3:$A$356,Cities!$D$3:$D$356)</f>
        <v>0</v>
      </c>
      <c r="M336" s="861">
        <f t="shared" si="59"/>
        <v>0</v>
      </c>
      <c r="O336" s="271">
        <f>LOOKUP('Overflow (7)'!$C44,Cities!$A$3:$A$356,Cities!$C$3:$C$356)</f>
        <v>0</v>
      </c>
      <c r="P336" s="857">
        <f>IF('Overflow (7)'!O44&lt;2015,'Print Return'!L$45,J336)</f>
        <v>0</v>
      </c>
      <c r="Q336" s="858">
        <f>'Overflow (7)'!$M44</f>
        <v>0</v>
      </c>
      <c r="R336" s="859">
        <f t="shared" si="60"/>
        <v>0</v>
      </c>
      <c r="S336" s="825">
        <f>'Overflow (7)'!G98</f>
        <v>0</v>
      </c>
      <c r="T336" s="826">
        <f t="shared" si="61"/>
        <v>0</v>
      </c>
      <c r="U336" s="860">
        <f>LOOKUP('Overflow (7)'!$C44,Cities!$A$3:$A$356,Cities!$D$3:$D$356)</f>
        <v>0</v>
      </c>
      <c r="V336" s="861">
        <f t="shared" si="62"/>
        <v>0</v>
      </c>
    </row>
    <row r="337" spans="1:25" x14ac:dyDescent="0.2">
      <c r="A337" s="271">
        <f>LOOKUP('Overflow (7)'!$C45,Cities!$A$3:$A$356,Cities!$C$3:$C$356)</f>
        <v>0</v>
      </c>
      <c r="B337" s="959">
        <f>'Print Return'!L$37</f>
        <v>0</v>
      </c>
      <c r="C337" s="858">
        <f>'Overflow (7)'!$M45</f>
        <v>0</v>
      </c>
      <c r="D337" s="859">
        <f t="shared" si="54"/>
        <v>0</v>
      </c>
      <c r="E337" s="825">
        <f>'Overflow (7)'!G99</f>
        <v>0</v>
      </c>
      <c r="F337" s="826">
        <f t="shared" si="55"/>
        <v>0</v>
      </c>
      <c r="G337" s="960">
        <f t="shared" si="56"/>
        <v>0</v>
      </c>
      <c r="H337" s="122">
        <f>'Print Return'!L$41</f>
        <v>0</v>
      </c>
      <c r="I337" s="293">
        <f>IF('Overflow (7)'!O45&lt;2015,MIN(G337,H337)/2,MIN(G337,H337))</f>
        <v>0</v>
      </c>
      <c r="J337" s="960">
        <f t="shared" si="57"/>
        <v>0</v>
      </c>
      <c r="K337" s="293">
        <f t="shared" si="58"/>
        <v>0</v>
      </c>
      <c r="L337" s="860">
        <f>LOOKUP('Overflow (7)'!$C45,Cities!$A$3:$A$356,Cities!$D$3:$D$356)</f>
        <v>0</v>
      </c>
      <c r="M337" s="861">
        <f t="shared" si="59"/>
        <v>0</v>
      </c>
      <c r="O337" s="271">
        <f>LOOKUP('Overflow (7)'!$C45,Cities!$A$3:$A$356,Cities!$C$3:$C$356)</f>
        <v>0</v>
      </c>
      <c r="P337" s="857">
        <f>IF('Overflow (7)'!O45&lt;2015,'Print Return'!L$45,J337)</f>
        <v>0</v>
      </c>
      <c r="Q337" s="858">
        <f>'Overflow (7)'!$M45</f>
        <v>0</v>
      </c>
      <c r="R337" s="859">
        <f t="shared" si="60"/>
        <v>0</v>
      </c>
      <c r="S337" s="825">
        <f>'Overflow (7)'!G99</f>
        <v>0</v>
      </c>
      <c r="T337" s="826">
        <f t="shared" si="61"/>
        <v>0</v>
      </c>
      <c r="U337" s="860">
        <f>LOOKUP('Overflow (7)'!$C45,Cities!$A$3:$A$356,Cities!$D$3:$D$356)</f>
        <v>0</v>
      </c>
      <c r="V337" s="861">
        <f t="shared" si="62"/>
        <v>0</v>
      </c>
    </row>
    <row r="338" spans="1:25" x14ac:dyDescent="0.2">
      <c r="A338" s="271">
        <f>LOOKUP('Overflow (7)'!$C46,Cities!$A$3:$A$356,Cities!$C$3:$C$356)</f>
        <v>0</v>
      </c>
      <c r="B338" s="959">
        <f>'Print Return'!L$37</f>
        <v>0</v>
      </c>
      <c r="C338" s="858">
        <f>'Overflow (7)'!$M46</f>
        <v>0</v>
      </c>
      <c r="D338" s="859">
        <f t="shared" si="54"/>
        <v>0</v>
      </c>
      <c r="E338" s="825">
        <f>'Overflow (7)'!G100</f>
        <v>0</v>
      </c>
      <c r="F338" s="826">
        <f t="shared" si="55"/>
        <v>0</v>
      </c>
      <c r="G338" s="960">
        <f t="shared" si="56"/>
        <v>0</v>
      </c>
      <c r="H338" s="122">
        <f>'Print Return'!L$41</f>
        <v>0</v>
      </c>
      <c r="I338" s="293">
        <f>IF('Overflow (7)'!O46&lt;2015,MIN(G338,H338)/2,MIN(G338,H338))</f>
        <v>0</v>
      </c>
      <c r="J338" s="960">
        <f t="shared" si="57"/>
        <v>0</v>
      </c>
      <c r="K338" s="293">
        <f t="shared" si="58"/>
        <v>0</v>
      </c>
      <c r="L338" s="860">
        <f>LOOKUP('Overflow (7)'!$C46,Cities!$A$3:$A$356,Cities!$D$3:$D$356)</f>
        <v>0</v>
      </c>
      <c r="M338" s="861">
        <f t="shared" si="59"/>
        <v>0</v>
      </c>
      <c r="O338" s="271">
        <f>LOOKUP('Overflow (7)'!$C46,Cities!$A$3:$A$356,Cities!$C$3:$C$356)</f>
        <v>0</v>
      </c>
      <c r="P338" s="857">
        <f>IF('Overflow (7)'!O46&lt;2015,'Print Return'!L$45,J338)</f>
        <v>0</v>
      </c>
      <c r="Q338" s="858">
        <f>'Overflow (7)'!$M46</f>
        <v>0</v>
      </c>
      <c r="R338" s="859">
        <f t="shared" si="60"/>
        <v>0</v>
      </c>
      <c r="S338" s="825">
        <f>'Overflow (7)'!G100</f>
        <v>0</v>
      </c>
      <c r="T338" s="826">
        <f t="shared" si="61"/>
        <v>0</v>
      </c>
      <c r="U338" s="860">
        <f>LOOKUP('Overflow (7)'!$C46,Cities!$A$3:$A$356,Cities!$D$3:$D$356)</f>
        <v>0</v>
      </c>
      <c r="V338" s="861">
        <f t="shared" si="62"/>
        <v>0</v>
      </c>
    </row>
    <row r="339" spans="1:25" x14ac:dyDescent="0.2">
      <c r="A339" s="271">
        <f>LOOKUP('Overflow (7)'!$C47,Cities!$A$3:$A$356,Cities!$C$3:$C$356)</f>
        <v>0</v>
      </c>
      <c r="B339" s="959">
        <f>'Print Return'!L$37</f>
        <v>0</v>
      </c>
      <c r="C339" s="858">
        <f>'Overflow (7)'!$M47</f>
        <v>0</v>
      </c>
      <c r="D339" s="859">
        <f t="shared" si="54"/>
        <v>0</v>
      </c>
      <c r="E339" s="825">
        <f>'Overflow (7)'!G101</f>
        <v>0</v>
      </c>
      <c r="F339" s="826">
        <f t="shared" si="55"/>
        <v>0</v>
      </c>
      <c r="G339" s="960">
        <f t="shared" si="56"/>
        <v>0</v>
      </c>
      <c r="H339" s="122">
        <f>'Print Return'!L$41</f>
        <v>0</v>
      </c>
      <c r="I339" s="293">
        <f>IF('Overflow (7)'!O47&lt;2015,MIN(G339,H339)/2,MIN(G339,H339))</f>
        <v>0</v>
      </c>
      <c r="J339" s="960">
        <f t="shared" si="57"/>
        <v>0</v>
      </c>
      <c r="K339" s="293">
        <f t="shared" si="58"/>
        <v>0</v>
      </c>
      <c r="L339" s="860">
        <f>LOOKUP('Overflow (7)'!$C47,Cities!$A$3:$A$356,Cities!$D$3:$D$356)</f>
        <v>0</v>
      </c>
      <c r="M339" s="861">
        <f t="shared" si="59"/>
        <v>0</v>
      </c>
      <c r="O339" s="271">
        <f>LOOKUP('Overflow (7)'!$C47,Cities!$A$3:$A$356,Cities!$C$3:$C$356)</f>
        <v>0</v>
      </c>
      <c r="P339" s="857">
        <f>IF('Overflow (7)'!O47&lt;2015,'Print Return'!L$45,J339)</f>
        <v>0</v>
      </c>
      <c r="Q339" s="858">
        <f>'Overflow (7)'!$M47</f>
        <v>0</v>
      </c>
      <c r="R339" s="859">
        <f t="shared" si="60"/>
        <v>0</v>
      </c>
      <c r="S339" s="825">
        <f>'Overflow (7)'!G101</f>
        <v>0</v>
      </c>
      <c r="T339" s="826">
        <f t="shared" si="61"/>
        <v>0</v>
      </c>
      <c r="U339" s="860">
        <f>LOOKUP('Overflow (7)'!$C47,Cities!$A$3:$A$356,Cities!$D$3:$D$356)</f>
        <v>0</v>
      </c>
      <c r="V339" s="861">
        <f t="shared" si="62"/>
        <v>0</v>
      </c>
    </row>
    <row r="340" spans="1:25" x14ac:dyDescent="0.2">
      <c r="A340" s="271">
        <f>LOOKUP('Overflow (7)'!$C48,Cities!$A$3:$A$356,Cities!$C$3:$C$356)</f>
        <v>0</v>
      </c>
      <c r="B340" s="959">
        <f>'Print Return'!L$37</f>
        <v>0</v>
      </c>
      <c r="C340" s="858">
        <f>'Overflow (7)'!$M48</f>
        <v>0</v>
      </c>
      <c r="D340" s="859">
        <f t="shared" si="54"/>
        <v>0</v>
      </c>
      <c r="E340" s="825">
        <f>'Overflow (7)'!G102</f>
        <v>0</v>
      </c>
      <c r="F340" s="826">
        <f t="shared" si="55"/>
        <v>0</v>
      </c>
      <c r="G340" s="960">
        <f t="shared" si="56"/>
        <v>0</v>
      </c>
      <c r="H340" s="122">
        <f>'Print Return'!L$41</f>
        <v>0</v>
      </c>
      <c r="I340" s="293">
        <f>IF('Overflow (7)'!O48&lt;2015,MIN(G340,H340)/2,MIN(G340,H340))</f>
        <v>0</v>
      </c>
      <c r="J340" s="960">
        <f t="shared" si="57"/>
        <v>0</v>
      </c>
      <c r="K340" s="293">
        <f t="shared" si="58"/>
        <v>0</v>
      </c>
      <c r="L340" s="860">
        <f>LOOKUP('Overflow (7)'!$C48,Cities!$A$3:$A$356,Cities!$D$3:$D$356)</f>
        <v>0</v>
      </c>
      <c r="M340" s="861">
        <f t="shared" si="59"/>
        <v>0</v>
      </c>
      <c r="O340" s="271">
        <f>LOOKUP('Overflow (7)'!$C48,Cities!$A$3:$A$356,Cities!$C$3:$C$356)</f>
        <v>0</v>
      </c>
      <c r="P340" s="857">
        <f>IF('Overflow (7)'!O48&lt;2015,'Print Return'!L$45,J340)</f>
        <v>0</v>
      </c>
      <c r="Q340" s="858">
        <f>'Overflow (7)'!$M48</f>
        <v>0</v>
      </c>
      <c r="R340" s="859">
        <f t="shared" si="60"/>
        <v>0</v>
      </c>
      <c r="S340" s="825">
        <f>'Overflow (7)'!G102</f>
        <v>0</v>
      </c>
      <c r="T340" s="826">
        <f t="shared" si="61"/>
        <v>0</v>
      </c>
      <c r="U340" s="860">
        <f>LOOKUP('Overflow (7)'!$C48,Cities!$A$3:$A$356,Cities!$D$3:$D$356)</f>
        <v>0</v>
      </c>
      <c r="V340" s="861">
        <f t="shared" si="62"/>
        <v>0</v>
      </c>
    </row>
    <row r="341" spans="1:25" x14ac:dyDescent="0.2">
      <c r="A341" s="271">
        <f>LOOKUP('Overflow (7)'!$C49,Cities!$A$3:$A$356,Cities!$C$3:$C$356)</f>
        <v>0</v>
      </c>
      <c r="B341" s="959">
        <f>'Print Return'!L$37</f>
        <v>0</v>
      </c>
      <c r="C341" s="858">
        <f>'Overflow (7)'!$M49</f>
        <v>0</v>
      </c>
      <c r="D341" s="859">
        <f t="shared" si="54"/>
        <v>0</v>
      </c>
      <c r="E341" s="825">
        <f>'Overflow (7)'!G103</f>
        <v>0</v>
      </c>
      <c r="F341" s="826">
        <f t="shared" si="55"/>
        <v>0</v>
      </c>
      <c r="G341" s="960">
        <f t="shared" si="56"/>
        <v>0</v>
      </c>
      <c r="H341" s="122">
        <f>'Print Return'!L$41</f>
        <v>0</v>
      </c>
      <c r="I341" s="293">
        <f>IF('Overflow (7)'!O49&lt;2015,MIN(G341,H341)/2,MIN(G341,H341))</f>
        <v>0</v>
      </c>
      <c r="J341" s="960">
        <f t="shared" si="57"/>
        <v>0</v>
      </c>
      <c r="K341" s="293">
        <f t="shared" si="58"/>
        <v>0</v>
      </c>
      <c r="L341" s="860">
        <f>LOOKUP('Overflow (7)'!$C49,Cities!$A$3:$A$356,Cities!$D$3:$D$356)</f>
        <v>0</v>
      </c>
      <c r="M341" s="861">
        <f t="shared" si="59"/>
        <v>0</v>
      </c>
      <c r="O341" s="271">
        <f>LOOKUP('Overflow (7)'!$C49,Cities!$A$3:$A$356,Cities!$C$3:$C$356)</f>
        <v>0</v>
      </c>
      <c r="P341" s="857">
        <f>IF('Overflow (7)'!O49&lt;2015,'Print Return'!L$45,J341)</f>
        <v>0</v>
      </c>
      <c r="Q341" s="858">
        <f>'Overflow (7)'!$M49</f>
        <v>0</v>
      </c>
      <c r="R341" s="859">
        <f t="shared" si="60"/>
        <v>0</v>
      </c>
      <c r="S341" s="825">
        <f>'Overflow (7)'!G103</f>
        <v>0</v>
      </c>
      <c r="T341" s="826">
        <f t="shared" si="61"/>
        <v>0</v>
      </c>
      <c r="U341" s="860">
        <f>LOOKUP('Overflow (7)'!$C49,Cities!$A$3:$A$356,Cities!$D$3:$D$356)</f>
        <v>0</v>
      </c>
      <c r="V341" s="861">
        <f t="shared" si="62"/>
        <v>0</v>
      </c>
    </row>
    <row r="342" spans="1:25" x14ac:dyDescent="0.2">
      <c r="A342" s="271">
        <f>LOOKUP('Overflow (7)'!$C50,Cities!$A$3:$A$356,Cities!$C$3:$C$356)</f>
        <v>0</v>
      </c>
      <c r="B342" s="959">
        <f>'Print Return'!L$37</f>
        <v>0</v>
      </c>
      <c r="C342" s="858">
        <f>'Overflow (7)'!$M50</f>
        <v>0</v>
      </c>
      <c r="D342" s="859">
        <f t="shared" si="54"/>
        <v>0</v>
      </c>
      <c r="E342" s="825">
        <f>'Overflow (7)'!G104</f>
        <v>0</v>
      </c>
      <c r="F342" s="826">
        <f t="shared" si="55"/>
        <v>0</v>
      </c>
      <c r="G342" s="960">
        <f t="shared" si="56"/>
        <v>0</v>
      </c>
      <c r="H342" s="122">
        <f>'Print Return'!L$41</f>
        <v>0</v>
      </c>
      <c r="I342" s="293">
        <f>IF('Overflow (7)'!O50&lt;2015,MIN(G342,H342)/2,MIN(G342,H342))</f>
        <v>0</v>
      </c>
      <c r="J342" s="960">
        <f t="shared" si="57"/>
        <v>0</v>
      </c>
      <c r="K342" s="293">
        <f t="shared" si="58"/>
        <v>0</v>
      </c>
      <c r="L342" s="860">
        <f>LOOKUP('Overflow (7)'!$C50,Cities!$A$3:$A$356,Cities!$D$3:$D$356)</f>
        <v>0</v>
      </c>
      <c r="M342" s="861">
        <f t="shared" si="59"/>
        <v>0</v>
      </c>
      <c r="O342" s="271">
        <f>LOOKUP('Overflow (7)'!$C50,Cities!$A$3:$A$356,Cities!$C$3:$C$356)</f>
        <v>0</v>
      </c>
      <c r="P342" s="857">
        <f>IF('Overflow (7)'!O50&lt;2015,'Print Return'!L$45,J342)</f>
        <v>0</v>
      </c>
      <c r="Q342" s="858">
        <f>'Overflow (7)'!$M50</f>
        <v>0</v>
      </c>
      <c r="R342" s="859">
        <f t="shared" si="60"/>
        <v>0</v>
      </c>
      <c r="S342" s="825">
        <f>'Overflow (7)'!G104</f>
        <v>0</v>
      </c>
      <c r="T342" s="826">
        <f t="shared" si="61"/>
        <v>0</v>
      </c>
      <c r="U342" s="860">
        <f>LOOKUP('Overflow (7)'!$C50,Cities!$A$3:$A$356,Cities!$D$3:$D$356)</f>
        <v>0</v>
      </c>
      <c r="V342" s="861">
        <f t="shared" si="62"/>
        <v>0</v>
      </c>
    </row>
    <row r="343" spans="1:25" x14ac:dyDescent="0.2">
      <c r="A343" s="271">
        <f>LOOKUP('Overflow (7)'!$C51,Cities!$A$3:$A$356,Cities!$C$3:$C$356)</f>
        <v>0</v>
      </c>
      <c r="B343" s="959">
        <f>'Print Return'!L$37</f>
        <v>0</v>
      </c>
      <c r="C343" s="858">
        <f>'Overflow (7)'!$M51</f>
        <v>0</v>
      </c>
      <c r="D343" s="859">
        <f t="shared" si="54"/>
        <v>0</v>
      </c>
      <c r="E343" s="825">
        <f>'Overflow (7)'!G105</f>
        <v>0</v>
      </c>
      <c r="F343" s="826">
        <f t="shared" si="55"/>
        <v>0</v>
      </c>
      <c r="G343" s="960">
        <f t="shared" si="56"/>
        <v>0</v>
      </c>
      <c r="H343" s="122">
        <f>'Print Return'!L$41</f>
        <v>0</v>
      </c>
      <c r="I343" s="293">
        <f>IF('Overflow (7)'!O51&lt;2015,MIN(G343,H343)/2,MIN(G343,H343))</f>
        <v>0</v>
      </c>
      <c r="J343" s="960">
        <f t="shared" si="57"/>
        <v>0</v>
      </c>
      <c r="K343" s="293">
        <f t="shared" si="58"/>
        <v>0</v>
      </c>
      <c r="L343" s="860">
        <f>LOOKUP('Overflow (7)'!$C51,Cities!$A$3:$A$356,Cities!$D$3:$D$356)</f>
        <v>0</v>
      </c>
      <c r="M343" s="861">
        <f t="shared" si="59"/>
        <v>0</v>
      </c>
      <c r="O343" s="271">
        <f>LOOKUP('Overflow (7)'!$C51,Cities!$A$3:$A$356,Cities!$C$3:$C$356)</f>
        <v>0</v>
      </c>
      <c r="P343" s="857">
        <f>IF('Overflow (7)'!O51&lt;2015,'Print Return'!L$45,J343)</f>
        <v>0</v>
      </c>
      <c r="Q343" s="858">
        <f>'Overflow (7)'!$M51</f>
        <v>0</v>
      </c>
      <c r="R343" s="859">
        <f t="shared" si="60"/>
        <v>0</v>
      </c>
      <c r="S343" s="825">
        <f>'Overflow (7)'!G105</f>
        <v>0</v>
      </c>
      <c r="T343" s="826">
        <f t="shared" si="61"/>
        <v>0</v>
      </c>
      <c r="U343" s="860">
        <f>LOOKUP('Overflow (7)'!$C51,Cities!$A$3:$A$356,Cities!$D$3:$D$356)</f>
        <v>0</v>
      </c>
      <c r="V343" s="861">
        <f t="shared" si="62"/>
        <v>0</v>
      </c>
    </row>
    <row r="344" spans="1:25" x14ac:dyDescent="0.2">
      <c r="A344" s="271">
        <f>LOOKUP('Overflow (7)'!$C52,Cities!$A$3:$A$356,Cities!$C$3:$C$356)</f>
        <v>0</v>
      </c>
      <c r="B344" s="959">
        <f>'Print Return'!L$37</f>
        <v>0</v>
      </c>
      <c r="C344" s="858">
        <f>'Overflow (7)'!$M52</f>
        <v>0</v>
      </c>
      <c r="D344" s="859">
        <f t="shared" si="54"/>
        <v>0</v>
      </c>
      <c r="E344" s="825">
        <f>'Overflow (7)'!G106</f>
        <v>0</v>
      </c>
      <c r="F344" s="826">
        <f t="shared" si="55"/>
        <v>0</v>
      </c>
      <c r="G344" s="960">
        <f t="shared" si="56"/>
        <v>0</v>
      </c>
      <c r="H344" s="122">
        <f>'Print Return'!L$41</f>
        <v>0</v>
      </c>
      <c r="I344" s="293">
        <f>IF('Overflow (7)'!O52&lt;2015,MIN(G344,H344)/2,MIN(G344,H344))</f>
        <v>0</v>
      </c>
      <c r="J344" s="960">
        <f t="shared" si="57"/>
        <v>0</v>
      </c>
      <c r="K344" s="293">
        <f t="shared" si="58"/>
        <v>0</v>
      </c>
      <c r="L344" s="860">
        <f>LOOKUP('Overflow (7)'!$C52,Cities!$A$3:$A$356,Cities!$D$3:$D$356)</f>
        <v>0</v>
      </c>
      <c r="M344" s="861">
        <f t="shared" si="59"/>
        <v>0</v>
      </c>
      <c r="O344" s="271">
        <f>LOOKUP('Overflow (7)'!$C52,Cities!$A$3:$A$356,Cities!$C$3:$C$356)</f>
        <v>0</v>
      </c>
      <c r="P344" s="857">
        <f>IF('Overflow (7)'!O52&lt;2015,'Print Return'!L$45,J344)</f>
        <v>0</v>
      </c>
      <c r="Q344" s="858">
        <f>'Overflow (7)'!$M52</f>
        <v>0</v>
      </c>
      <c r="R344" s="859">
        <f t="shared" si="60"/>
        <v>0</v>
      </c>
      <c r="S344" s="825">
        <f>'Overflow (7)'!G106</f>
        <v>0</v>
      </c>
      <c r="T344" s="826">
        <f t="shared" si="61"/>
        <v>0</v>
      </c>
      <c r="U344" s="860">
        <f>LOOKUP('Overflow (7)'!$C52,Cities!$A$3:$A$356,Cities!$D$3:$D$356)</f>
        <v>0</v>
      </c>
      <c r="V344" s="861">
        <f t="shared" si="62"/>
        <v>0</v>
      </c>
    </row>
    <row r="345" spans="1:25" x14ac:dyDescent="0.2">
      <c r="A345" s="271">
        <f>LOOKUP('Overflow (7)'!$C53,Cities!$A$3:$A$356,Cities!$C$3:$C$356)</f>
        <v>0</v>
      </c>
      <c r="B345" s="959">
        <f>'Print Return'!L$37</f>
        <v>0</v>
      </c>
      <c r="C345" s="858">
        <f>'Overflow (7)'!$M53</f>
        <v>0</v>
      </c>
      <c r="D345" s="859">
        <f t="shared" si="54"/>
        <v>0</v>
      </c>
      <c r="E345" s="825">
        <f>'Overflow (7)'!G107</f>
        <v>0</v>
      </c>
      <c r="F345" s="826">
        <f t="shared" si="55"/>
        <v>0</v>
      </c>
      <c r="G345" s="960">
        <f t="shared" si="56"/>
        <v>0</v>
      </c>
      <c r="H345" s="122">
        <f>'Print Return'!L$41</f>
        <v>0</v>
      </c>
      <c r="I345" s="293">
        <f>IF('Overflow (7)'!O53&lt;2015,MIN(G345,H345)/2,MIN(G345,H345))</f>
        <v>0</v>
      </c>
      <c r="J345" s="960">
        <f t="shared" si="57"/>
        <v>0</v>
      </c>
      <c r="K345" s="293">
        <f t="shared" si="58"/>
        <v>0</v>
      </c>
      <c r="L345" s="860">
        <f>LOOKUP('Overflow (7)'!$C53,Cities!$A$3:$A$356,Cities!$D$3:$D$356)</f>
        <v>0</v>
      </c>
      <c r="M345" s="861">
        <f t="shared" si="59"/>
        <v>0</v>
      </c>
      <c r="O345" s="271">
        <f>LOOKUP('Overflow (7)'!$C53,Cities!$A$3:$A$356,Cities!$C$3:$C$356)</f>
        <v>0</v>
      </c>
      <c r="P345" s="857">
        <f>IF('Overflow (7)'!O53&lt;2015,'Print Return'!L$45,J345)</f>
        <v>0</v>
      </c>
      <c r="Q345" s="858">
        <f>'Overflow (7)'!$M53</f>
        <v>0</v>
      </c>
      <c r="R345" s="859">
        <f t="shared" si="60"/>
        <v>0</v>
      </c>
      <c r="S345" s="825">
        <f>'Overflow (7)'!G107</f>
        <v>0</v>
      </c>
      <c r="T345" s="826">
        <f t="shared" si="61"/>
        <v>0</v>
      </c>
      <c r="U345" s="860">
        <f>LOOKUP('Overflow (7)'!$C53,Cities!$A$3:$A$356,Cities!$D$3:$D$356)</f>
        <v>0</v>
      </c>
      <c r="V345" s="861">
        <f t="shared" si="62"/>
        <v>0</v>
      </c>
    </row>
    <row r="346" spans="1:25" x14ac:dyDescent="0.2">
      <c r="A346" s="271">
        <f>LOOKUP('Overflow (7)'!$C54,Cities!$A$3:$A$356,Cities!$C$3:$C$356)</f>
        <v>0</v>
      </c>
      <c r="B346" s="959">
        <f>'Print Return'!L$37</f>
        <v>0</v>
      </c>
      <c r="C346" s="858">
        <f>'Overflow (7)'!$M54</f>
        <v>0</v>
      </c>
      <c r="D346" s="859">
        <f t="shared" si="54"/>
        <v>0</v>
      </c>
      <c r="E346" s="825">
        <f>'Overflow (7)'!G108</f>
        <v>0</v>
      </c>
      <c r="F346" s="826">
        <f t="shared" si="55"/>
        <v>0</v>
      </c>
      <c r="G346" s="960">
        <f t="shared" si="56"/>
        <v>0</v>
      </c>
      <c r="H346" s="122">
        <f>'Print Return'!L$41</f>
        <v>0</v>
      </c>
      <c r="I346" s="293">
        <f>IF('Overflow (7)'!O54&lt;2015,MIN(G346,H346)/2,MIN(G346,H346))</f>
        <v>0</v>
      </c>
      <c r="J346" s="960">
        <f t="shared" si="57"/>
        <v>0</v>
      </c>
      <c r="K346" s="293">
        <f t="shared" si="58"/>
        <v>0</v>
      </c>
      <c r="L346" s="860">
        <f>LOOKUP('Overflow (7)'!$C54,Cities!$A$3:$A$356,Cities!$D$3:$D$356)</f>
        <v>0</v>
      </c>
      <c r="M346" s="861">
        <f t="shared" si="59"/>
        <v>0</v>
      </c>
      <c r="O346" s="271">
        <f>LOOKUP('Overflow (7)'!$C54,Cities!$A$3:$A$356,Cities!$C$3:$C$356)</f>
        <v>0</v>
      </c>
      <c r="P346" s="857">
        <f>IF('Overflow (7)'!O54&lt;2015,'Print Return'!L$45,J346)</f>
        <v>0</v>
      </c>
      <c r="Q346" s="858">
        <f>'Overflow (7)'!$M54</f>
        <v>0</v>
      </c>
      <c r="R346" s="859">
        <f t="shared" si="60"/>
        <v>0</v>
      </c>
      <c r="S346" s="825">
        <f>'Overflow (7)'!G108</f>
        <v>0</v>
      </c>
      <c r="T346" s="826">
        <f t="shared" si="61"/>
        <v>0</v>
      </c>
      <c r="U346" s="860">
        <f>LOOKUP('Overflow (7)'!$C54,Cities!$A$3:$A$356,Cities!$D$3:$D$356)</f>
        <v>0</v>
      </c>
      <c r="V346" s="861">
        <f t="shared" si="62"/>
        <v>0</v>
      </c>
    </row>
    <row r="347" spans="1:25" x14ac:dyDescent="0.2">
      <c r="A347" s="271">
        <f>LOOKUP('Overflow (7)'!$C55,Cities!$A$3:$A$356,Cities!$C$3:$C$356)</f>
        <v>0</v>
      </c>
      <c r="B347" s="959">
        <f>'Print Return'!L$37</f>
        <v>0</v>
      </c>
      <c r="C347" s="858">
        <f>'Overflow (7)'!$M55</f>
        <v>0</v>
      </c>
      <c r="D347" s="859">
        <f t="shared" si="54"/>
        <v>0</v>
      </c>
      <c r="E347" s="825">
        <f>'Overflow (7)'!G109</f>
        <v>0</v>
      </c>
      <c r="F347" s="826">
        <f t="shared" si="55"/>
        <v>0</v>
      </c>
      <c r="G347" s="960">
        <f t="shared" si="56"/>
        <v>0</v>
      </c>
      <c r="H347" s="122">
        <f>'Print Return'!L$41</f>
        <v>0</v>
      </c>
      <c r="I347" s="293">
        <f>IF('Overflow (7)'!O55&lt;2015,MIN(G347,H347)/2,MIN(G347,H347))</f>
        <v>0</v>
      </c>
      <c r="J347" s="960">
        <f t="shared" si="57"/>
        <v>0</v>
      </c>
      <c r="K347" s="293">
        <f t="shared" si="58"/>
        <v>0</v>
      </c>
      <c r="L347" s="860">
        <f>LOOKUP('Overflow (7)'!$C55,Cities!$A$3:$A$356,Cities!$D$3:$D$356)</f>
        <v>0</v>
      </c>
      <c r="M347" s="861">
        <f t="shared" si="59"/>
        <v>0</v>
      </c>
      <c r="O347" s="271">
        <f>LOOKUP('Overflow (7)'!$C55,Cities!$A$3:$A$356,Cities!$C$3:$C$356)</f>
        <v>0</v>
      </c>
      <c r="P347" s="857">
        <f>IF('Overflow (7)'!O55&lt;2015,'Print Return'!L$45,J347)</f>
        <v>0</v>
      </c>
      <c r="Q347" s="858">
        <f>'Overflow (7)'!$M55</f>
        <v>0</v>
      </c>
      <c r="R347" s="859">
        <f t="shared" si="60"/>
        <v>0</v>
      </c>
      <c r="S347" s="825">
        <f>'Overflow (7)'!G109</f>
        <v>0</v>
      </c>
      <c r="T347" s="826">
        <f t="shared" si="61"/>
        <v>0</v>
      </c>
      <c r="U347" s="860">
        <f>LOOKUP('Overflow (7)'!$C55,Cities!$A$3:$A$356,Cities!$D$3:$D$356)</f>
        <v>0</v>
      </c>
      <c r="V347" s="861">
        <f t="shared" si="62"/>
        <v>0</v>
      </c>
    </row>
    <row r="348" spans="1:25" x14ac:dyDescent="0.2">
      <c r="A348" s="271">
        <f>LOOKUP('Overflow (7)'!$C56,Cities!$A$3:$A$356,Cities!$C$3:$C$356)</f>
        <v>0</v>
      </c>
      <c r="B348" s="959">
        <f>'Print Return'!L$37</f>
        <v>0</v>
      </c>
      <c r="C348" s="858">
        <f>'Overflow (7)'!$M56</f>
        <v>0</v>
      </c>
      <c r="D348" s="859">
        <f t="shared" si="54"/>
        <v>0</v>
      </c>
      <c r="E348" s="825">
        <f>'Overflow (7)'!G110</f>
        <v>0</v>
      </c>
      <c r="F348" s="826">
        <f t="shared" si="55"/>
        <v>0</v>
      </c>
      <c r="G348" s="960">
        <f t="shared" si="56"/>
        <v>0</v>
      </c>
      <c r="H348" s="122">
        <f>'Print Return'!L$41</f>
        <v>0</v>
      </c>
      <c r="I348" s="293">
        <f>IF('Overflow (7)'!O56&lt;2015,MIN(G348,H348)/2,MIN(G348,H348))</f>
        <v>0</v>
      </c>
      <c r="J348" s="960">
        <f t="shared" si="57"/>
        <v>0</v>
      </c>
      <c r="K348" s="293">
        <f t="shared" si="58"/>
        <v>0</v>
      </c>
      <c r="L348" s="860">
        <f>LOOKUP('Overflow (7)'!$C56,Cities!$A$3:$A$356,Cities!$D$3:$D$356)</f>
        <v>0</v>
      </c>
      <c r="M348" s="861">
        <f t="shared" si="59"/>
        <v>0</v>
      </c>
      <c r="O348" s="271">
        <f>LOOKUP('Overflow (7)'!$C56,Cities!$A$3:$A$356,Cities!$C$3:$C$356)</f>
        <v>0</v>
      </c>
      <c r="P348" s="857">
        <f>IF('Overflow (7)'!O56&lt;2015,'Print Return'!L$45,J348)</f>
        <v>0</v>
      </c>
      <c r="Q348" s="858">
        <f>'Overflow (7)'!$M56</f>
        <v>0</v>
      </c>
      <c r="R348" s="859">
        <f t="shared" si="60"/>
        <v>0</v>
      </c>
      <c r="S348" s="825">
        <f>'Overflow (7)'!G110</f>
        <v>0</v>
      </c>
      <c r="T348" s="826">
        <f t="shared" si="61"/>
        <v>0</v>
      </c>
      <c r="U348" s="860">
        <f>LOOKUP('Overflow (7)'!$C56,Cities!$A$3:$A$356,Cities!$D$3:$D$356)</f>
        <v>0</v>
      </c>
      <c r="V348" s="861">
        <f t="shared" si="62"/>
        <v>0</v>
      </c>
    </row>
    <row r="349" spans="1:25" x14ac:dyDescent="0.2">
      <c r="A349" s="306"/>
      <c r="B349" s="16"/>
      <c r="C349" s="16"/>
      <c r="D349" s="16"/>
      <c r="E349" s="16"/>
      <c r="F349" s="16"/>
      <c r="G349" s="16"/>
      <c r="H349" s="16"/>
      <c r="I349" s="16"/>
      <c r="J349" s="16"/>
      <c r="K349" s="16"/>
      <c r="L349" s="16"/>
      <c r="M349" s="264"/>
      <c r="O349" s="306"/>
      <c r="P349" s="16"/>
      <c r="Q349" s="16"/>
      <c r="R349" s="16"/>
      <c r="S349" s="16"/>
      <c r="T349" s="16"/>
      <c r="U349" s="16"/>
      <c r="V349" s="264"/>
    </row>
    <row r="350" spans="1:25" ht="13.5" thickBot="1" x14ac:dyDescent="0.25">
      <c r="A350" s="267" t="s">
        <v>1714</v>
      </c>
      <c r="B350" s="862"/>
      <c r="C350" s="920">
        <f>SUM(C304:C348)</f>
        <v>0</v>
      </c>
      <c r="D350" s="862"/>
      <c r="E350" s="863">
        <f>SUM(E304:E348)</f>
        <v>0</v>
      </c>
      <c r="F350" s="862"/>
      <c r="G350" s="862"/>
      <c r="H350" s="862"/>
      <c r="I350" s="862"/>
      <c r="J350" s="862"/>
      <c r="K350" s="865">
        <f>SUM(K304:K348)</f>
        <v>0</v>
      </c>
      <c r="L350" s="862"/>
      <c r="M350" s="864">
        <f>ROUND(SUMIF(M304:M348,"&gt;10"),0)</f>
        <v>0</v>
      </c>
      <c r="N350" s="1"/>
      <c r="O350" s="267"/>
      <c r="P350" s="862"/>
      <c r="Q350" s="892">
        <f>SUM(Q304:Q348)</f>
        <v>0</v>
      </c>
      <c r="R350" s="862"/>
      <c r="S350" s="863">
        <f>SUM(S304:S348)</f>
        <v>0</v>
      </c>
      <c r="T350" s="865">
        <f>SUM(T304:T348)</f>
        <v>0</v>
      </c>
      <c r="U350" s="862"/>
      <c r="V350" s="864">
        <f>ROUND(SUMIF(V304:V348,"&gt; 10"),0)</f>
        <v>0</v>
      </c>
    </row>
    <row r="351" spans="1:25" ht="18.75" thickBot="1" x14ac:dyDescent="0.3">
      <c r="A351" s="923" t="s">
        <v>1762</v>
      </c>
      <c r="B351" s="253"/>
      <c r="C351" s="253"/>
      <c r="D351" s="253"/>
      <c r="E351" s="253"/>
      <c r="F351" s="253"/>
      <c r="G351" s="253"/>
      <c r="H351" s="253"/>
      <c r="I351" s="253"/>
      <c r="J351" s="253"/>
      <c r="K351" s="253"/>
      <c r="L351" s="253"/>
      <c r="M351" s="253"/>
      <c r="N351" s="16"/>
      <c r="O351" s="923" t="s">
        <v>1763</v>
      </c>
      <c r="P351" s="253"/>
      <c r="Q351" s="253"/>
      <c r="R351" s="253"/>
      <c r="S351" s="253"/>
      <c r="T351" s="253"/>
      <c r="U351" s="253"/>
      <c r="V351" s="253"/>
      <c r="W351" s="16"/>
      <c r="X351" s="16"/>
      <c r="Y351" s="16"/>
    </row>
    <row r="352" spans="1:25" ht="17.25" customHeight="1" x14ac:dyDescent="0.2">
      <c r="A352" s="1572" t="s">
        <v>166</v>
      </c>
      <c r="B352" s="1568" t="s">
        <v>1720</v>
      </c>
      <c r="C352" s="1568" t="s">
        <v>1746</v>
      </c>
      <c r="D352" s="1568" t="s">
        <v>1722</v>
      </c>
      <c r="E352" s="1568" t="s">
        <v>1723</v>
      </c>
      <c r="F352" s="1568" t="s">
        <v>1724</v>
      </c>
      <c r="G352" s="1568" t="s">
        <v>1725</v>
      </c>
      <c r="H352" s="1568" t="s">
        <v>1726</v>
      </c>
      <c r="I352" s="1568" t="s">
        <v>1727</v>
      </c>
      <c r="J352" s="1568" t="s">
        <v>1728</v>
      </c>
      <c r="K352" s="1568" t="s">
        <v>1729</v>
      </c>
      <c r="L352" s="1568" t="s">
        <v>1730</v>
      </c>
      <c r="M352" s="1570" t="s">
        <v>1731</v>
      </c>
      <c r="N352" s="922"/>
      <c r="O352" s="1572" t="s">
        <v>166</v>
      </c>
      <c r="P352" s="1568" t="s">
        <v>1747</v>
      </c>
      <c r="Q352" s="1568" t="s">
        <v>1736</v>
      </c>
      <c r="R352" s="1568" t="s">
        <v>1741</v>
      </c>
      <c r="S352" s="1568" t="s">
        <v>1699</v>
      </c>
      <c r="T352" s="1568" t="s">
        <v>1700</v>
      </c>
      <c r="U352" s="1568" t="s">
        <v>1742</v>
      </c>
      <c r="V352" s="1570" t="s">
        <v>1743</v>
      </c>
    </row>
    <row r="353" spans="1:22" ht="54" customHeight="1" thickBot="1" x14ac:dyDescent="0.25">
      <c r="A353" s="1573"/>
      <c r="B353" s="1569"/>
      <c r="C353" s="1569"/>
      <c r="D353" s="1569"/>
      <c r="E353" s="1569"/>
      <c r="F353" s="1569"/>
      <c r="G353" s="1569"/>
      <c r="H353" s="1569"/>
      <c r="I353" s="1569"/>
      <c r="J353" s="1569"/>
      <c r="K353" s="1569"/>
      <c r="L353" s="1569"/>
      <c r="M353" s="1571"/>
      <c r="N353" s="922"/>
      <c r="O353" s="1573"/>
      <c r="P353" s="1569"/>
      <c r="Q353" s="1569"/>
      <c r="R353" s="1569"/>
      <c r="S353" s="1569"/>
      <c r="T353" s="1569"/>
      <c r="U353" s="1569"/>
      <c r="V353" s="1571"/>
    </row>
    <row r="354" spans="1:22" x14ac:dyDescent="0.2">
      <c r="A354" s="271">
        <f>LOOKUP('Overflow (8)'!$C12,Cities!$A$3:$A$356,Cities!$C$3:$C$356)</f>
        <v>0</v>
      </c>
      <c r="B354" s="959">
        <f>'Print Return'!L$37</f>
        <v>0</v>
      </c>
      <c r="C354" s="858">
        <f>'Overflow (8)'!$M12</f>
        <v>0</v>
      </c>
      <c r="D354" s="859">
        <f t="shared" ref="D354:D398" si="63">B354*IF(ISNUMBER(C354)=TRUE,C354,0)</f>
        <v>0</v>
      </c>
      <c r="E354" s="825">
        <f>'Overflow (8)'!G66</f>
        <v>0</v>
      </c>
      <c r="F354" s="826">
        <f>D354-E354</f>
        <v>0</v>
      </c>
      <c r="G354" s="960">
        <f>IF(C354&gt;0,F354 / C354,0)</f>
        <v>0</v>
      </c>
      <c r="H354" s="122">
        <f>'Print Return'!L$41</f>
        <v>0</v>
      </c>
      <c r="I354" s="293">
        <f>IF('Overflow (8)'!O12&lt;2015,MIN(G354,H354)/2,MIN(354,H354))</f>
        <v>0</v>
      </c>
      <c r="J354" s="960">
        <f>IF(G354-I354&gt;0,G354-I354,0)</f>
        <v>0</v>
      </c>
      <c r="K354" s="293">
        <f>J354*IF(C354&gt;0,C354,0)</f>
        <v>0</v>
      </c>
      <c r="L354" s="860">
        <f>LOOKUP('Overflow (8)'!$C12,Cities!$A$3:$A$356,Cities!$D$3:$D$356)</f>
        <v>0</v>
      </c>
      <c r="M354" s="861">
        <f>K354*L354</f>
        <v>0</v>
      </c>
      <c r="N354" s="1"/>
      <c r="O354" s="271">
        <f>LOOKUP('Overflow (8)'!$C12,Cities!$A$3:$A$356,Cities!$C$3:$C$356)</f>
        <v>0</v>
      </c>
      <c r="P354" s="857">
        <f>IF('Overflow (8)'!O12&lt;2015,'Print Return'!L$45,J354)</f>
        <v>0</v>
      </c>
      <c r="Q354" s="858">
        <f>'Overflow (8)'!$M12</f>
        <v>0</v>
      </c>
      <c r="R354" s="859">
        <f>P354*IF(Q354&gt;0,Q354,0)</f>
        <v>0</v>
      </c>
      <c r="S354" s="825">
        <f>'Overflow (8)'!G66</f>
        <v>0</v>
      </c>
      <c r="T354" s="826">
        <f>IF(P354&gt;0,R354-S354,0)</f>
        <v>0</v>
      </c>
      <c r="U354" s="860">
        <f>LOOKUP('Overflow (8)'!$C12,Cities!$A$3:$A$356,Cities!$D$3:$D$356)</f>
        <v>0</v>
      </c>
      <c r="V354" s="861">
        <f>T354*U354</f>
        <v>0</v>
      </c>
    </row>
    <row r="355" spans="1:22" x14ac:dyDescent="0.2">
      <c r="A355" s="271">
        <f>LOOKUP('Overflow (8)'!$C13,Cities!$A$3:$A$356,Cities!$C$3:$C$356)</f>
        <v>0</v>
      </c>
      <c r="B355" s="959">
        <f>'Print Return'!L$37</f>
        <v>0</v>
      </c>
      <c r="C355" s="858">
        <f>'Overflow (8)'!$M13</f>
        <v>0</v>
      </c>
      <c r="D355" s="859">
        <f t="shared" si="63"/>
        <v>0</v>
      </c>
      <c r="E355" s="825">
        <f>'Overflow (8)'!G67</f>
        <v>0</v>
      </c>
      <c r="F355" s="826">
        <f t="shared" ref="F355:F398" si="64">D355-E355</f>
        <v>0</v>
      </c>
      <c r="G355" s="960">
        <f t="shared" ref="G355:G398" si="65">IF(C355&gt;0,F355 / C355,0)</f>
        <v>0</v>
      </c>
      <c r="H355" s="122">
        <f>'Print Return'!L$41</f>
        <v>0</v>
      </c>
      <c r="I355" s="293">
        <f>IF('Overflow (8)'!O13&lt;2015,MIN(G355,H355)/2,MIN(354,H355))</f>
        <v>0</v>
      </c>
      <c r="J355" s="960">
        <f t="shared" ref="J355:J398" si="66">IF(G355-I355&gt;0,G355-I355,0)</f>
        <v>0</v>
      </c>
      <c r="K355" s="293">
        <f t="shared" ref="K355:K398" si="67">J355*IF(C355&gt;0,C355,0)</f>
        <v>0</v>
      </c>
      <c r="L355" s="860">
        <f>LOOKUP('Overflow (8)'!$C13,Cities!$A$3:$A$356,Cities!$D$3:$D$356)</f>
        <v>0</v>
      </c>
      <c r="M355" s="861">
        <f t="shared" ref="M355:M398" si="68">K355*L355</f>
        <v>0</v>
      </c>
      <c r="O355" s="271">
        <f>LOOKUP('Overflow (8)'!$C13,Cities!$A$3:$A$356,Cities!$C$3:$C$356)</f>
        <v>0</v>
      </c>
      <c r="P355" s="857">
        <f>IF('Overflow (8)'!O13&lt;2015,'Print Return'!L$45,J355)</f>
        <v>0</v>
      </c>
      <c r="Q355" s="858">
        <f>'Overflow (8)'!$M13</f>
        <v>0</v>
      </c>
      <c r="R355" s="859">
        <f t="shared" ref="R355:R398" si="69">P355*IF(Q355&gt;0,Q355,0)</f>
        <v>0</v>
      </c>
      <c r="S355" s="825">
        <f>'Overflow (8)'!G67</f>
        <v>0</v>
      </c>
      <c r="T355" s="826">
        <f t="shared" ref="T355:T398" si="70">IF(P355&gt;0,R355-S355,0)</f>
        <v>0</v>
      </c>
      <c r="U355" s="860">
        <f>LOOKUP('Overflow (8)'!$C13,Cities!$A$3:$A$356,Cities!$D$3:$D$356)</f>
        <v>0</v>
      </c>
      <c r="V355" s="861">
        <f t="shared" ref="V355:V398" si="71">T355*U355</f>
        <v>0</v>
      </c>
    </row>
    <row r="356" spans="1:22" x14ac:dyDescent="0.2">
      <c r="A356" s="271">
        <f>LOOKUP('Overflow (8)'!$C14,Cities!$A$3:$A$356,Cities!$C$3:$C$356)</f>
        <v>0</v>
      </c>
      <c r="B356" s="959">
        <f>'Print Return'!L$37</f>
        <v>0</v>
      </c>
      <c r="C356" s="858">
        <f>'Overflow (8)'!$M14</f>
        <v>0</v>
      </c>
      <c r="D356" s="859">
        <f t="shared" si="63"/>
        <v>0</v>
      </c>
      <c r="E356" s="825">
        <f>'Overflow (8)'!G68</f>
        <v>0</v>
      </c>
      <c r="F356" s="826">
        <f t="shared" si="64"/>
        <v>0</v>
      </c>
      <c r="G356" s="960">
        <f t="shared" si="65"/>
        <v>0</v>
      </c>
      <c r="H356" s="122">
        <f>'Print Return'!L$41</f>
        <v>0</v>
      </c>
      <c r="I356" s="293">
        <f>IF('Overflow (8)'!O14&lt;2015,MIN(G356,H356)/2,MIN(354,H356))</f>
        <v>0</v>
      </c>
      <c r="J356" s="960">
        <f t="shared" si="66"/>
        <v>0</v>
      </c>
      <c r="K356" s="293">
        <f t="shared" si="67"/>
        <v>0</v>
      </c>
      <c r="L356" s="860">
        <f>LOOKUP('Overflow (8)'!$C14,Cities!$A$3:$A$356,Cities!$D$3:$D$356)</f>
        <v>0</v>
      </c>
      <c r="M356" s="861">
        <f t="shared" si="68"/>
        <v>0</v>
      </c>
      <c r="O356" s="271">
        <f>LOOKUP('Overflow (8)'!$C14,Cities!$A$3:$A$356,Cities!$C$3:$C$356)</f>
        <v>0</v>
      </c>
      <c r="P356" s="857">
        <f>IF('Overflow (8)'!O14&lt;2015,'Print Return'!L$45,J356)</f>
        <v>0</v>
      </c>
      <c r="Q356" s="858">
        <f>'Overflow (8)'!$M14</f>
        <v>0</v>
      </c>
      <c r="R356" s="859">
        <f t="shared" si="69"/>
        <v>0</v>
      </c>
      <c r="S356" s="825">
        <f>'Overflow (8)'!G68</f>
        <v>0</v>
      </c>
      <c r="T356" s="826">
        <f t="shared" si="70"/>
        <v>0</v>
      </c>
      <c r="U356" s="860">
        <f>LOOKUP('Overflow (8)'!$C14,Cities!$A$3:$A$356,Cities!$D$3:$D$356)</f>
        <v>0</v>
      </c>
      <c r="V356" s="861">
        <f t="shared" si="71"/>
        <v>0</v>
      </c>
    </row>
    <row r="357" spans="1:22" x14ac:dyDescent="0.2">
      <c r="A357" s="271">
        <f>LOOKUP('Overflow (8)'!$C15,Cities!$A$3:$A$356,Cities!$C$3:$C$356)</f>
        <v>0</v>
      </c>
      <c r="B357" s="959">
        <f>'Print Return'!L$37</f>
        <v>0</v>
      </c>
      <c r="C357" s="858">
        <f>'Overflow (8)'!$M15</f>
        <v>0</v>
      </c>
      <c r="D357" s="859">
        <f t="shared" si="63"/>
        <v>0</v>
      </c>
      <c r="E357" s="825">
        <f>'Overflow (8)'!G69</f>
        <v>0</v>
      </c>
      <c r="F357" s="826">
        <f t="shared" si="64"/>
        <v>0</v>
      </c>
      <c r="G357" s="960">
        <f t="shared" si="65"/>
        <v>0</v>
      </c>
      <c r="H357" s="122">
        <f>'Print Return'!L$41</f>
        <v>0</v>
      </c>
      <c r="I357" s="293">
        <f>IF('Overflow (8)'!O15&lt;2015,MIN(G357,H357)/2,MIN(354,H357))</f>
        <v>0</v>
      </c>
      <c r="J357" s="960">
        <f t="shared" si="66"/>
        <v>0</v>
      </c>
      <c r="K357" s="293">
        <f t="shared" si="67"/>
        <v>0</v>
      </c>
      <c r="L357" s="860">
        <f>LOOKUP('Overflow (8)'!$C15,Cities!$A$3:$A$356,Cities!$D$3:$D$356)</f>
        <v>0</v>
      </c>
      <c r="M357" s="861">
        <f t="shared" si="68"/>
        <v>0</v>
      </c>
      <c r="O357" s="271">
        <f>LOOKUP('Overflow (8)'!$C15,Cities!$A$3:$A$356,Cities!$C$3:$C$356)</f>
        <v>0</v>
      </c>
      <c r="P357" s="857">
        <f>IF('Overflow (8)'!O15&lt;2015,'Print Return'!L$45,J357)</f>
        <v>0</v>
      </c>
      <c r="Q357" s="858">
        <f>'Overflow (8)'!$M15</f>
        <v>0</v>
      </c>
      <c r="R357" s="859">
        <f t="shared" si="69"/>
        <v>0</v>
      </c>
      <c r="S357" s="825">
        <f>'Overflow (8)'!G69</f>
        <v>0</v>
      </c>
      <c r="T357" s="826">
        <f t="shared" si="70"/>
        <v>0</v>
      </c>
      <c r="U357" s="860">
        <f>LOOKUP('Overflow (8)'!$C15,Cities!$A$3:$A$356,Cities!$D$3:$D$356)</f>
        <v>0</v>
      </c>
      <c r="V357" s="861">
        <f t="shared" si="71"/>
        <v>0</v>
      </c>
    </row>
    <row r="358" spans="1:22" x14ac:dyDescent="0.2">
      <c r="A358" s="271">
        <f>LOOKUP('Overflow (8)'!$C16,Cities!$A$3:$A$356,Cities!$C$3:$C$356)</f>
        <v>0</v>
      </c>
      <c r="B358" s="959">
        <f>'Print Return'!L$37</f>
        <v>0</v>
      </c>
      <c r="C358" s="858">
        <f>'Overflow (8)'!$M16</f>
        <v>0</v>
      </c>
      <c r="D358" s="859">
        <f t="shared" si="63"/>
        <v>0</v>
      </c>
      <c r="E358" s="825">
        <f>'Overflow (8)'!G70</f>
        <v>0</v>
      </c>
      <c r="F358" s="826">
        <f t="shared" si="64"/>
        <v>0</v>
      </c>
      <c r="G358" s="960">
        <f t="shared" si="65"/>
        <v>0</v>
      </c>
      <c r="H358" s="122">
        <f>'Print Return'!L$41</f>
        <v>0</v>
      </c>
      <c r="I358" s="293">
        <f>IF('Overflow (8)'!O16&lt;2015,MIN(G358,H358)/2,MIN(354,H358))</f>
        <v>0</v>
      </c>
      <c r="J358" s="960">
        <f t="shared" si="66"/>
        <v>0</v>
      </c>
      <c r="K358" s="293">
        <f t="shared" si="67"/>
        <v>0</v>
      </c>
      <c r="L358" s="860">
        <f>LOOKUP('Overflow (8)'!$C16,Cities!$A$3:$A$356,Cities!$D$3:$D$356)</f>
        <v>0</v>
      </c>
      <c r="M358" s="861">
        <f t="shared" si="68"/>
        <v>0</v>
      </c>
      <c r="O358" s="271">
        <f>LOOKUP('Overflow (8)'!$C16,Cities!$A$3:$A$356,Cities!$C$3:$C$356)</f>
        <v>0</v>
      </c>
      <c r="P358" s="857">
        <f>IF('Overflow (8)'!O16&lt;2015,'Print Return'!L$45,J358)</f>
        <v>0</v>
      </c>
      <c r="Q358" s="858">
        <f>'Overflow (8)'!$M16</f>
        <v>0</v>
      </c>
      <c r="R358" s="859">
        <f t="shared" si="69"/>
        <v>0</v>
      </c>
      <c r="S358" s="825">
        <f>'Overflow (8)'!G70</f>
        <v>0</v>
      </c>
      <c r="T358" s="826">
        <f t="shared" si="70"/>
        <v>0</v>
      </c>
      <c r="U358" s="860">
        <f>LOOKUP('Overflow (8)'!$C16,Cities!$A$3:$A$356,Cities!$D$3:$D$356)</f>
        <v>0</v>
      </c>
      <c r="V358" s="861">
        <f t="shared" si="71"/>
        <v>0</v>
      </c>
    </row>
    <row r="359" spans="1:22" x14ac:dyDescent="0.2">
      <c r="A359" s="271">
        <f>LOOKUP('Overflow (8)'!$C17,Cities!$A$3:$A$356,Cities!$C$3:$C$356)</f>
        <v>0</v>
      </c>
      <c r="B359" s="959">
        <f>'Print Return'!L$37</f>
        <v>0</v>
      </c>
      <c r="C359" s="858">
        <f>'Overflow (8)'!$M17</f>
        <v>0</v>
      </c>
      <c r="D359" s="859">
        <f t="shared" si="63"/>
        <v>0</v>
      </c>
      <c r="E359" s="825">
        <f>'Overflow (8)'!G71</f>
        <v>0</v>
      </c>
      <c r="F359" s="826">
        <f t="shared" si="64"/>
        <v>0</v>
      </c>
      <c r="G359" s="960">
        <f t="shared" si="65"/>
        <v>0</v>
      </c>
      <c r="H359" s="122">
        <f>'Print Return'!L$41</f>
        <v>0</v>
      </c>
      <c r="I359" s="293">
        <f>IF('Overflow (8)'!O17&lt;2015,MIN(G359,H359)/2,MIN(354,H359))</f>
        <v>0</v>
      </c>
      <c r="J359" s="960">
        <f t="shared" si="66"/>
        <v>0</v>
      </c>
      <c r="K359" s="293">
        <f t="shared" si="67"/>
        <v>0</v>
      </c>
      <c r="L359" s="860">
        <f>LOOKUP('Overflow (8)'!$C17,Cities!$A$3:$A$356,Cities!$D$3:$D$356)</f>
        <v>0</v>
      </c>
      <c r="M359" s="861">
        <f t="shared" si="68"/>
        <v>0</v>
      </c>
      <c r="O359" s="271">
        <f>LOOKUP('Overflow (8)'!$C17,Cities!$A$3:$A$356,Cities!$C$3:$C$356)</f>
        <v>0</v>
      </c>
      <c r="P359" s="857">
        <f>IF('Overflow (8)'!O17&lt;2015,'Print Return'!L$45,J359)</f>
        <v>0</v>
      </c>
      <c r="Q359" s="858">
        <f>'Overflow (8)'!$M17</f>
        <v>0</v>
      </c>
      <c r="R359" s="859">
        <f t="shared" si="69"/>
        <v>0</v>
      </c>
      <c r="S359" s="825">
        <f>'Overflow (8)'!G71</f>
        <v>0</v>
      </c>
      <c r="T359" s="826">
        <f t="shared" si="70"/>
        <v>0</v>
      </c>
      <c r="U359" s="860">
        <f>LOOKUP('Overflow (8)'!$C17,Cities!$A$3:$A$356,Cities!$D$3:$D$356)</f>
        <v>0</v>
      </c>
      <c r="V359" s="861">
        <f t="shared" si="71"/>
        <v>0</v>
      </c>
    </row>
    <row r="360" spans="1:22" x14ac:dyDescent="0.2">
      <c r="A360" s="271">
        <f>LOOKUP('Overflow (8)'!$C18,Cities!$A$3:$A$356,Cities!$C$3:$C$356)</f>
        <v>0</v>
      </c>
      <c r="B360" s="959">
        <f>'Print Return'!L$37</f>
        <v>0</v>
      </c>
      <c r="C360" s="858">
        <f>'Overflow (8)'!$M18</f>
        <v>0</v>
      </c>
      <c r="D360" s="859">
        <f t="shared" si="63"/>
        <v>0</v>
      </c>
      <c r="E360" s="825">
        <f>'Overflow (8)'!G72</f>
        <v>0</v>
      </c>
      <c r="F360" s="826">
        <f t="shared" si="64"/>
        <v>0</v>
      </c>
      <c r="G360" s="960">
        <f t="shared" si="65"/>
        <v>0</v>
      </c>
      <c r="H360" s="122">
        <f>'Print Return'!L$41</f>
        <v>0</v>
      </c>
      <c r="I360" s="293">
        <f>IF('Overflow (8)'!O18&lt;2015,MIN(G360,H360)/2,MIN(354,H360))</f>
        <v>0</v>
      </c>
      <c r="J360" s="960">
        <f t="shared" si="66"/>
        <v>0</v>
      </c>
      <c r="K360" s="293">
        <f t="shared" si="67"/>
        <v>0</v>
      </c>
      <c r="L360" s="860">
        <f>LOOKUP('Overflow (8)'!$C18,Cities!$A$3:$A$356,Cities!$D$3:$D$356)</f>
        <v>0</v>
      </c>
      <c r="M360" s="861">
        <f t="shared" si="68"/>
        <v>0</v>
      </c>
      <c r="O360" s="271">
        <f>LOOKUP('Overflow (8)'!$C18,Cities!$A$3:$A$356,Cities!$C$3:$C$356)</f>
        <v>0</v>
      </c>
      <c r="P360" s="857">
        <f>IF('Overflow (8)'!O18&lt;2015,'Print Return'!L$45,J360)</f>
        <v>0</v>
      </c>
      <c r="Q360" s="858">
        <f>'Overflow (8)'!$M18</f>
        <v>0</v>
      </c>
      <c r="R360" s="859">
        <f t="shared" si="69"/>
        <v>0</v>
      </c>
      <c r="S360" s="825">
        <f>'Overflow (8)'!G72</f>
        <v>0</v>
      </c>
      <c r="T360" s="826">
        <f t="shared" si="70"/>
        <v>0</v>
      </c>
      <c r="U360" s="860">
        <f>LOOKUP('Overflow (8)'!$C18,Cities!$A$3:$A$356,Cities!$D$3:$D$356)</f>
        <v>0</v>
      </c>
      <c r="V360" s="861">
        <f t="shared" si="71"/>
        <v>0</v>
      </c>
    </row>
    <row r="361" spans="1:22" x14ac:dyDescent="0.2">
      <c r="A361" s="271">
        <f>LOOKUP('Overflow (8)'!$C19,Cities!$A$3:$A$356,Cities!$C$3:$C$356)</f>
        <v>0</v>
      </c>
      <c r="B361" s="959">
        <f>'Print Return'!L$37</f>
        <v>0</v>
      </c>
      <c r="C361" s="858">
        <f>'Overflow (8)'!$M19</f>
        <v>0</v>
      </c>
      <c r="D361" s="859">
        <f t="shared" si="63"/>
        <v>0</v>
      </c>
      <c r="E361" s="825">
        <f>'Overflow (8)'!G73</f>
        <v>0</v>
      </c>
      <c r="F361" s="826">
        <f t="shared" si="64"/>
        <v>0</v>
      </c>
      <c r="G361" s="960">
        <f t="shared" si="65"/>
        <v>0</v>
      </c>
      <c r="H361" s="122">
        <f>'Print Return'!L$41</f>
        <v>0</v>
      </c>
      <c r="I361" s="293">
        <f>IF('Overflow (8)'!O19&lt;2015,MIN(G361,H361)/2,MIN(354,H361))</f>
        <v>0</v>
      </c>
      <c r="J361" s="960">
        <f t="shared" si="66"/>
        <v>0</v>
      </c>
      <c r="K361" s="293">
        <f t="shared" si="67"/>
        <v>0</v>
      </c>
      <c r="L361" s="860">
        <f>LOOKUP('Overflow (8)'!$C19,Cities!$A$3:$A$356,Cities!$D$3:$D$356)</f>
        <v>0</v>
      </c>
      <c r="M361" s="861">
        <f t="shared" si="68"/>
        <v>0</v>
      </c>
      <c r="O361" s="271">
        <f>LOOKUP('Overflow (8)'!$C19,Cities!$A$3:$A$356,Cities!$C$3:$C$356)</f>
        <v>0</v>
      </c>
      <c r="P361" s="857">
        <f>IF('Overflow (8)'!O19&lt;2015,'Print Return'!L$45,J361)</f>
        <v>0</v>
      </c>
      <c r="Q361" s="858">
        <f>'Overflow (8)'!$M19</f>
        <v>0</v>
      </c>
      <c r="R361" s="859">
        <f t="shared" si="69"/>
        <v>0</v>
      </c>
      <c r="S361" s="825">
        <f>'Overflow (8)'!G73</f>
        <v>0</v>
      </c>
      <c r="T361" s="826">
        <f t="shared" si="70"/>
        <v>0</v>
      </c>
      <c r="U361" s="860">
        <f>LOOKUP('Overflow (8)'!$C19,Cities!$A$3:$A$356,Cities!$D$3:$D$356)</f>
        <v>0</v>
      </c>
      <c r="V361" s="861">
        <f t="shared" si="71"/>
        <v>0</v>
      </c>
    </row>
    <row r="362" spans="1:22" x14ac:dyDescent="0.2">
      <c r="A362" s="271">
        <f>LOOKUP('Overflow (8)'!$C20,Cities!$A$3:$A$356,Cities!$C$3:$C$356)</f>
        <v>0</v>
      </c>
      <c r="B362" s="959">
        <f>'Print Return'!L$37</f>
        <v>0</v>
      </c>
      <c r="C362" s="858">
        <f>'Overflow (8)'!$M20</f>
        <v>0</v>
      </c>
      <c r="D362" s="859">
        <f t="shared" si="63"/>
        <v>0</v>
      </c>
      <c r="E362" s="825">
        <f>'Overflow (8)'!G74</f>
        <v>0</v>
      </c>
      <c r="F362" s="826">
        <f t="shared" si="64"/>
        <v>0</v>
      </c>
      <c r="G362" s="960">
        <f t="shared" si="65"/>
        <v>0</v>
      </c>
      <c r="H362" s="122">
        <f>'Print Return'!L$41</f>
        <v>0</v>
      </c>
      <c r="I362" s="293">
        <f>IF('Overflow (8)'!O20&lt;2015,MIN(G362,H362)/2,MIN(354,H362))</f>
        <v>0</v>
      </c>
      <c r="J362" s="960">
        <f t="shared" si="66"/>
        <v>0</v>
      </c>
      <c r="K362" s="293">
        <f t="shared" si="67"/>
        <v>0</v>
      </c>
      <c r="L362" s="860">
        <f>LOOKUP('Overflow (8)'!$C20,Cities!$A$3:$A$356,Cities!$D$3:$D$356)</f>
        <v>0</v>
      </c>
      <c r="M362" s="861">
        <f t="shared" si="68"/>
        <v>0</v>
      </c>
      <c r="O362" s="271">
        <f>LOOKUP('Overflow (8)'!$C20,Cities!$A$3:$A$356,Cities!$C$3:$C$356)</f>
        <v>0</v>
      </c>
      <c r="P362" s="857">
        <f>IF('Overflow (8)'!O20&lt;2015,'Print Return'!L$45,J362)</f>
        <v>0</v>
      </c>
      <c r="Q362" s="858">
        <f>'Overflow (8)'!$M20</f>
        <v>0</v>
      </c>
      <c r="R362" s="859">
        <f t="shared" si="69"/>
        <v>0</v>
      </c>
      <c r="S362" s="825">
        <f>'Overflow (8)'!G74</f>
        <v>0</v>
      </c>
      <c r="T362" s="826">
        <f t="shared" si="70"/>
        <v>0</v>
      </c>
      <c r="U362" s="860">
        <f>LOOKUP('Overflow (8)'!$C20,Cities!$A$3:$A$356,Cities!$D$3:$D$356)</f>
        <v>0</v>
      </c>
      <c r="V362" s="861">
        <f t="shared" si="71"/>
        <v>0</v>
      </c>
    </row>
    <row r="363" spans="1:22" x14ac:dyDescent="0.2">
      <c r="A363" s="271">
        <f>LOOKUP('Overflow (8)'!$C21,Cities!$A$3:$A$356,Cities!$C$3:$C$356)</f>
        <v>0</v>
      </c>
      <c r="B363" s="959">
        <f>'Print Return'!L$37</f>
        <v>0</v>
      </c>
      <c r="C363" s="858">
        <f>'Overflow (8)'!$M21</f>
        <v>0</v>
      </c>
      <c r="D363" s="859">
        <f t="shared" si="63"/>
        <v>0</v>
      </c>
      <c r="E363" s="825">
        <f>'Overflow (8)'!G75</f>
        <v>0</v>
      </c>
      <c r="F363" s="826">
        <f t="shared" si="64"/>
        <v>0</v>
      </c>
      <c r="G363" s="960">
        <f t="shared" si="65"/>
        <v>0</v>
      </c>
      <c r="H363" s="122">
        <f>'Print Return'!L$41</f>
        <v>0</v>
      </c>
      <c r="I363" s="293">
        <f>IF('Overflow (8)'!O21&lt;2015,MIN(G363,H363)/2,MIN(354,H363))</f>
        <v>0</v>
      </c>
      <c r="J363" s="960">
        <f t="shared" si="66"/>
        <v>0</v>
      </c>
      <c r="K363" s="293">
        <f t="shared" si="67"/>
        <v>0</v>
      </c>
      <c r="L363" s="860">
        <f>LOOKUP('Overflow (8)'!$C21,Cities!$A$3:$A$356,Cities!$D$3:$D$356)</f>
        <v>0</v>
      </c>
      <c r="M363" s="861">
        <f t="shared" si="68"/>
        <v>0</v>
      </c>
      <c r="O363" s="271">
        <f>LOOKUP('Overflow (8)'!$C21,Cities!$A$3:$A$356,Cities!$C$3:$C$356)</f>
        <v>0</v>
      </c>
      <c r="P363" s="857">
        <f>IF('Overflow (8)'!O21&lt;2015,'Print Return'!L$45,J363)</f>
        <v>0</v>
      </c>
      <c r="Q363" s="858">
        <f>'Overflow (8)'!$M21</f>
        <v>0</v>
      </c>
      <c r="R363" s="859">
        <f t="shared" si="69"/>
        <v>0</v>
      </c>
      <c r="S363" s="825">
        <f>'Overflow (8)'!G75</f>
        <v>0</v>
      </c>
      <c r="T363" s="826">
        <f t="shared" si="70"/>
        <v>0</v>
      </c>
      <c r="U363" s="860">
        <f>LOOKUP('Overflow (8)'!$C21,Cities!$A$3:$A$356,Cities!$D$3:$D$356)</f>
        <v>0</v>
      </c>
      <c r="V363" s="861">
        <f t="shared" si="71"/>
        <v>0</v>
      </c>
    </row>
    <row r="364" spans="1:22" x14ac:dyDescent="0.2">
      <c r="A364" s="271">
        <f>LOOKUP('Overflow (8)'!$C22,Cities!$A$3:$A$356,Cities!$C$3:$C$356)</f>
        <v>0</v>
      </c>
      <c r="B364" s="959">
        <f>'Print Return'!L$37</f>
        <v>0</v>
      </c>
      <c r="C364" s="858">
        <f>'Overflow (8)'!$M22</f>
        <v>0</v>
      </c>
      <c r="D364" s="859">
        <f t="shared" si="63"/>
        <v>0</v>
      </c>
      <c r="E364" s="825">
        <f>'Overflow (8)'!G76</f>
        <v>0</v>
      </c>
      <c r="F364" s="826">
        <f t="shared" si="64"/>
        <v>0</v>
      </c>
      <c r="G364" s="960">
        <f t="shared" si="65"/>
        <v>0</v>
      </c>
      <c r="H364" s="122">
        <f>'Print Return'!L$41</f>
        <v>0</v>
      </c>
      <c r="I364" s="293">
        <f>IF('Overflow (8)'!O22&lt;2015,MIN(G364,H364)/2,MIN(354,H364))</f>
        <v>0</v>
      </c>
      <c r="J364" s="960">
        <f t="shared" si="66"/>
        <v>0</v>
      </c>
      <c r="K364" s="293">
        <f t="shared" si="67"/>
        <v>0</v>
      </c>
      <c r="L364" s="860">
        <f>LOOKUP('Overflow (8)'!$C22,Cities!$A$3:$A$356,Cities!$D$3:$D$356)</f>
        <v>0</v>
      </c>
      <c r="M364" s="861">
        <f t="shared" si="68"/>
        <v>0</v>
      </c>
      <c r="O364" s="271">
        <f>LOOKUP('Overflow (8)'!$C22,Cities!$A$3:$A$356,Cities!$C$3:$C$356)</f>
        <v>0</v>
      </c>
      <c r="P364" s="857">
        <f>IF('Overflow (8)'!O22&lt;2015,'Print Return'!L$45,J364)</f>
        <v>0</v>
      </c>
      <c r="Q364" s="858">
        <f>'Overflow (8)'!$M22</f>
        <v>0</v>
      </c>
      <c r="R364" s="859">
        <f t="shared" si="69"/>
        <v>0</v>
      </c>
      <c r="S364" s="825">
        <f>'Overflow (8)'!G76</f>
        <v>0</v>
      </c>
      <c r="T364" s="826">
        <f t="shared" si="70"/>
        <v>0</v>
      </c>
      <c r="U364" s="860">
        <f>LOOKUP('Overflow (8)'!$C22,Cities!$A$3:$A$356,Cities!$D$3:$D$356)</f>
        <v>0</v>
      </c>
      <c r="V364" s="861">
        <f t="shared" si="71"/>
        <v>0</v>
      </c>
    </row>
    <row r="365" spans="1:22" x14ac:dyDescent="0.2">
      <c r="A365" s="271">
        <f>LOOKUP('Overflow (8)'!$C23,Cities!$A$3:$A$356,Cities!$C$3:$C$356)</f>
        <v>0</v>
      </c>
      <c r="B365" s="959">
        <f>'Print Return'!L$37</f>
        <v>0</v>
      </c>
      <c r="C365" s="858">
        <f>'Overflow (8)'!$M23</f>
        <v>0</v>
      </c>
      <c r="D365" s="859">
        <f t="shared" si="63"/>
        <v>0</v>
      </c>
      <c r="E365" s="825">
        <f>'Overflow (8)'!G77</f>
        <v>0</v>
      </c>
      <c r="F365" s="826">
        <f t="shared" si="64"/>
        <v>0</v>
      </c>
      <c r="G365" s="960">
        <f t="shared" si="65"/>
        <v>0</v>
      </c>
      <c r="H365" s="122">
        <f>'Print Return'!L$41</f>
        <v>0</v>
      </c>
      <c r="I365" s="293">
        <f>IF('Overflow (8)'!O23&lt;2015,MIN(G365,H365)/2,MIN(354,H365))</f>
        <v>0</v>
      </c>
      <c r="J365" s="960">
        <f t="shared" si="66"/>
        <v>0</v>
      </c>
      <c r="K365" s="293">
        <f t="shared" si="67"/>
        <v>0</v>
      </c>
      <c r="L365" s="860">
        <f>LOOKUP('Overflow (8)'!$C23,Cities!$A$3:$A$356,Cities!$D$3:$D$356)</f>
        <v>0</v>
      </c>
      <c r="M365" s="861">
        <f t="shared" si="68"/>
        <v>0</v>
      </c>
      <c r="O365" s="271">
        <f>LOOKUP('Overflow (8)'!$C23,Cities!$A$3:$A$356,Cities!$C$3:$C$356)</f>
        <v>0</v>
      </c>
      <c r="P365" s="857">
        <f>IF('Overflow (8)'!O23&lt;2015,'Print Return'!L$45,J365)</f>
        <v>0</v>
      </c>
      <c r="Q365" s="858">
        <f>'Overflow (8)'!$M23</f>
        <v>0</v>
      </c>
      <c r="R365" s="859">
        <f t="shared" si="69"/>
        <v>0</v>
      </c>
      <c r="S365" s="825">
        <f>'Overflow (8)'!G77</f>
        <v>0</v>
      </c>
      <c r="T365" s="826">
        <f t="shared" si="70"/>
        <v>0</v>
      </c>
      <c r="U365" s="860">
        <f>LOOKUP('Overflow (8)'!$C23,Cities!$A$3:$A$356,Cities!$D$3:$D$356)</f>
        <v>0</v>
      </c>
      <c r="V365" s="861">
        <f t="shared" si="71"/>
        <v>0</v>
      </c>
    </row>
    <row r="366" spans="1:22" x14ac:dyDescent="0.2">
      <c r="A366" s="271">
        <f>LOOKUP('Overflow (8)'!$C24,Cities!$A$3:$A$356,Cities!$C$3:$C$356)</f>
        <v>0</v>
      </c>
      <c r="B366" s="959">
        <f>'Print Return'!L$37</f>
        <v>0</v>
      </c>
      <c r="C366" s="858">
        <f>'Overflow (8)'!$M24</f>
        <v>0</v>
      </c>
      <c r="D366" s="859">
        <f t="shared" si="63"/>
        <v>0</v>
      </c>
      <c r="E366" s="825">
        <f>'Overflow (8)'!G78</f>
        <v>0</v>
      </c>
      <c r="F366" s="826">
        <f t="shared" si="64"/>
        <v>0</v>
      </c>
      <c r="G366" s="960">
        <f t="shared" si="65"/>
        <v>0</v>
      </c>
      <c r="H366" s="122">
        <f>'Print Return'!L$41</f>
        <v>0</v>
      </c>
      <c r="I366" s="293">
        <f>IF('Overflow (8)'!O24&lt;2015,MIN(G366,H366)/2,MIN(354,H366))</f>
        <v>0</v>
      </c>
      <c r="J366" s="960">
        <f t="shared" si="66"/>
        <v>0</v>
      </c>
      <c r="K366" s="293">
        <f t="shared" si="67"/>
        <v>0</v>
      </c>
      <c r="L366" s="860">
        <f>LOOKUP('Overflow (8)'!$C24,Cities!$A$3:$A$356,Cities!$D$3:$D$356)</f>
        <v>0</v>
      </c>
      <c r="M366" s="861">
        <f t="shared" si="68"/>
        <v>0</v>
      </c>
      <c r="O366" s="271">
        <f>LOOKUP('Overflow (8)'!$C24,Cities!$A$3:$A$356,Cities!$C$3:$C$356)</f>
        <v>0</v>
      </c>
      <c r="P366" s="857">
        <f>IF('Overflow (8)'!O24&lt;2015,'Print Return'!L$45,J366)</f>
        <v>0</v>
      </c>
      <c r="Q366" s="858">
        <f>'Overflow (8)'!$M24</f>
        <v>0</v>
      </c>
      <c r="R366" s="859">
        <f t="shared" si="69"/>
        <v>0</v>
      </c>
      <c r="S366" s="825">
        <f>'Overflow (8)'!G78</f>
        <v>0</v>
      </c>
      <c r="T366" s="826">
        <f t="shared" si="70"/>
        <v>0</v>
      </c>
      <c r="U366" s="860">
        <f>LOOKUP('Overflow (8)'!$C24,Cities!$A$3:$A$356,Cities!$D$3:$D$356)</f>
        <v>0</v>
      </c>
      <c r="V366" s="861">
        <f t="shared" si="71"/>
        <v>0</v>
      </c>
    </row>
    <row r="367" spans="1:22" x14ac:dyDescent="0.2">
      <c r="A367" s="271">
        <f>LOOKUP('Overflow (8)'!$C25,Cities!$A$3:$A$356,Cities!$C$3:$C$356)</f>
        <v>0</v>
      </c>
      <c r="B367" s="959">
        <f>'Print Return'!L$37</f>
        <v>0</v>
      </c>
      <c r="C367" s="858">
        <f>'Overflow (8)'!$M25</f>
        <v>0</v>
      </c>
      <c r="D367" s="859">
        <f t="shared" si="63"/>
        <v>0</v>
      </c>
      <c r="E367" s="825">
        <f>'Overflow (8)'!G79</f>
        <v>0</v>
      </c>
      <c r="F367" s="826">
        <f t="shared" si="64"/>
        <v>0</v>
      </c>
      <c r="G367" s="960">
        <f t="shared" si="65"/>
        <v>0</v>
      </c>
      <c r="H367" s="122">
        <f>'Print Return'!L$41</f>
        <v>0</v>
      </c>
      <c r="I367" s="293">
        <f>IF('Overflow (8)'!O25&lt;2015,MIN(G367,H367)/2,MIN(354,H367))</f>
        <v>0</v>
      </c>
      <c r="J367" s="960">
        <f t="shared" si="66"/>
        <v>0</v>
      </c>
      <c r="K367" s="293">
        <f t="shared" si="67"/>
        <v>0</v>
      </c>
      <c r="L367" s="860">
        <f>LOOKUP('Overflow (8)'!$C25,Cities!$A$3:$A$356,Cities!$D$3:$D$356)</f>
        <v>0</v>
      </c>
      <c r="M367" s="861">
        <f t="shared" si="68"/>
        <v>0</v>
      </c>
      <c r="O367" s="271">
        <f>LOOKUP('Overflow (8)'!$C25,Cities!$A$3:$A$356,Cities!$C$3:$C$356)</f>
        <v>0</v>
      </c>
      <c r="P367" s="857">
        <f>IF('Overflow (8)'!O25&lt;2015,'Print Return'!L$45,J367)</f>
        <v>0</v>
      </c>
      <c r="Q367" s="858">
        <f>'Overflow (8)'!$M25</f>
        <v>0</v>
      </c>
      <c r="R367" s="859">
        <f t="shared" si="69"/>
        <v>0</v>
      </c>
      <c r="S367" s="825">
        <f>'Overflow (8)'!G79</f>
        <v>0</v>
      </c>
      <c r="T367" s="826">
        <f t="shared" si="70"/>
        <v>0</v>
      </c>
      <c r="U367" s="860">
        <f>LOOKUP('Overflow (8)'!$C25,Cities!$A$3:$A$356,Cities!$D$3:$D$356)</f>
        <v>0</v>
      </c>
      <c r="V367" s="861">
        <f t="shared" si="71"/>
        <v>0</v>
      </c>
    </row>
    <row r="368" spans="1:22" x14ac:dyDescent="0.2">
      <c r="A368" s="271">
        <f>LOOKUP('Overflow (8)'!$C26,Cities!$A$3:$A$356,Cities!$C$3:$C$356)</f>
        <v>0</v>
      </c>
      <c r="B368" s="959">
        <f>'Print Return'!L$37</f>
        <v>0</v>
      </c>
      <c r="C368" s="858">
        <f>'Overflow (8)'!$M26</f>
        <v>0</v>
      </c>
      <c r="D368" s="859">
        <f t="shared" si="63"/>
        <v>0</v>
      </c>
      <c r="E368" s="825">
        <f>'Overflow (8)'!G80</f>
        <v>0</v>
      </c>
      <c r="F368" s="826">
        <f t="shared" si="64"/>
        <v>0</v>
      </c>
      <c r="G368" s="960">
        <f t="shared" si="65"/>
        <v>0</v>
      </c>
      <c r="H368" s="122">
        <f>'Print Return'!L$41</f>
        <v>0</v>
      </c>
      <c r="I368" s="293">
        <f>IF('Overflow (8)'!O26&lt;2015,MIN(G368,H368)/2,MIN(354,H368))</f>
        <v>0</v>
      </c>
      <c r="J368" s="960">
        <f t="shared" si="66"/>
        <v>0</v>
      </c>
      <c r="K368" s="293">
        <f t="shared" si="67"/>
        <v>0</v>
      </c>
      <c r="L368" s="860">
        <f>LOOKUP('Overflow (8)'!$C26,Cities!$A$3:$A$356,Cities!$D$3:$D$356)</f>
        <v>0</v>
      </c>
      <c r="M368" s="861">
        <f t="shared" si="68"/>
        <v>0</v>
      </c>
      <c r="O368" s="271">
        <f>LOOKUP('Overflow (8)'!$C26,Cities!$A$3:$A$356,Cities!$C$3:$C$356)</f>
        <v>0</v>
      </c>
      <c r="P368" s="857">
        <f>IF('Overflow (8)'!O26&lt;2015,'Print Return'!L$45,J368)</f>
        <v>0</v>
      </c>
      <c r="Q368" s="858">
        <f>'Overflow (8)'!$M26</f>
        <v>0</v>
      </c>
      <c r="R368" s="859">
        <f t="shared" si="69"/>
        <v>0</v>
      </c>
      <c r="S368" s="825">
        <f>'Overflow (8)'!G80</f>
        <v>0</v>
      </c>
      <c r="T368" s="826">
        <f t="shared" si="70"/>
        <v>0</v>
      </c>
      <c r="U368" s="860">
        <f>LOOKUP('Overflow (8)'!$C26,Cities!$A$3:$A$356,Cities!$D$3:$D$356)</f>
        <v>0</v>
      </c>
      <c r="V368" s="861">
        <f t="shared" si="71"/>
        <v>0</v>
      </c>
    </row>
    <row r="369" spans="1:22" x14ac:dyDescent="0.2">
      <c r="A369" s="271">
        <f>LOOKUP('Overflow (8)'!$C27,Cities!$A$3:$A$356,Cities!$C$3:$C$356)</f>
        <v>0</v>
      </c>
      <c r="B369" s="959">
        <f>'Print Return'!L$37</f>
        <v>0</v>
      </c>
      <c r="C369" s="858">
        <f>'Overflow (8)'!$M27</f>
        <v>0</v>
      </c>
      <c r="D369" s="859">
        <f t="shared" si="63"/>
        <v>0</v>
      </c>
      <c r="E369" s="825">
        <f>'Overflow (8)'!G81</f>
        <v>0</v>
      </c>
      <c r="F369" s="826">
        <f t="shared" si="64"/>
        <v>0</v>
      </c>
      <c r="G369" s="960">
        <f t="shared" si="65"/>
        <v>0</v>
      </c>
      <c r="H369" s="122">
        <f>'Print Return'!L$41</f>
        <v>0</v>
      </c>
      <c r="I369" s="293">
        <f>IF('Overflow (8)'!O27&lt;2015,MIN(G369,H369)/2,MIN(354,H369))</f>
        <v>0</v>
      </c>
      <c r="J369" s="960">
        <f t="shared" si="66"/>
        <v>0</v>
      </c>
      <c r="K369" s="293">
        <f t="shared" si="67"/>
        <v>0</v>
      </c>
      <c r="L369" s="860">
        <f>LOOKUP('Overflow (8)'!$C27,Cities!$A$3:$A$356,Cities!$D$3:$D$356)</f>
        <v>0</v>
      </c>
      <c r="M369" s="861">
        <f t="shared" si="68"/>
        <v>0</v>
      </c>
      <c r="O369" s="271">
        <f>LOOKUP('Overflow (8)'!$C27,Cities!$A$3:$A$356,Cities!$C$3:$C$356)</f>
        <v>0</v>
      </c>
      <c r="P369" s="857">
        <f>IF('Overflow (8)'!O27&lt;2015,'Print Return'!L$45,J369)</f>
        <v>0</v>
      </c>
      <c r="Q369" s="858">
        <f>'Overflow (8)'!$M27</f>
        <v>0</v>
      </c>
      <c r="R369" s="859">
        <f t="shared" si="69"/>
        <v>0</v>
      </c>
      <c r="S369" s="825">
        <f>'Overflow (8)'!G81</f>
        <v>0</v>
      </c>
      <c r="T369" s="826">
        <f t="shared" si="70"/>
        <v>0</v>
      </c>
      <c r="U369" s="860">
        <f>LOOKUP('Overflow (8)'!$C27,Cities!$A$3:$A$356,Cities!$D$3:$D$356)</f>
        <v>0</v>
      </c>
      <c r="V369" s="861">
        <f t="shared" si="71"/>
        <v>0</v>
      </c>
    </row>
    <row r="370" spans="1:22" x14ac:dyDescent="0.2">
      <c r="A370" s="271">
        <f>LOOKUP('Overflow (8)'!$C28,Cities!$A$3:$A$356,Cities!$C$3:$C$356)</f>
        <v>0</v>
      </c>
      <c r="B370" s="959">
        <f>'Print Return'!L$37</f>
        <v>0</v>
      </c>
      <c r="C370" s="858">
        <f>'Overflow (8)'!$M28</f>
        <v>0</v>
      </c>
      <c r="D370" s="859">
        <f t="shared" si="63"/>
        <v>0</v>
      </c>
      <c r="E370" s="825">
        <f>'Overflow (8)'!G82</f>
        <v>0</v>
      </c>
      <c r="F370" s="826">
        <f t="shared" si="64"/>
        <v>0</v>
      </c>
      <c r="G370" s="960">
        <f t="shared" si="65"/>
        <v>0</v>
      </c>
      <c r="H370" s="122">
        <f>'Print Return'!L$41</f>
        <v>0</v>
      </c>
      <c r="I370" s="293">
        <f>IF('Overflow (8)'!O28&lt;2015,MIN(G370,H370)/2,MIN(354,H370))</f>
        <v>0</v>
      </c>
      <c r="J370" s="960">
        <f t="shared" si="66"/>
        <v>0</v>
      </c>
      <c r="K370" s="293">
        <f t="shared" si="67"/>
        <v>0</v>
      </c>
      <c r="L370" s="860">
        <f>LOOKUP('Overflow (8)'!$C28,Cities!$A$3:$A$356,Cities!$D$3:$D$356)</f>
        <v>0</v>
      </c>
      <c r="M370" s="861">
        <f t="shared" si="68"/>
        <v>0</v>
      </c>
      <c r="O370" s="271">
        <f>LOOKUP('Overflow (8)'!$C28,Cities!$A$3:$A$356,Cities!$C$3:$C$356)</f>
        <v>0</v>
      </c>
      <c r="P370" s="857">
        <f>IF('Overflow (8)'!O28&lt;2015,'Print Return'!L$45,J370)</f>
        <v>0</v>
      </c>
      <c r="Q370" s="858">
        <f>'Overflow (8)'!$M28</f>
        <v>0</v>
      </c>
      <c r="R370" s="859">
        <f t="shared" si="69"/>
        <v>0</v>
      </c>
      <c r="S370" s="825">
        <f>'Overflow (8)'!G82</f>
        <v>0</v>
      </c>
      <c r="T370" s="826">
        <f t="shared" si="70"/>
        <v>0</v>
      </c>
      <c r="U370" s="860">
        <f>LOOKUP('Overflow (8)'!$C28,Cities!$A$3:$A$356,Cities!$D$3:$D$356)</f>
        <v>0</v>
      </c>
      <c r="V370" s="861">
        <f t="shared" si="71"/>
        <v>0</v>
      </c>
    </row>
    <row r="371" spans="1:22" x14ac:dyDescent="0.2">
      <c r="A371" s="271">
        <f>LOOKUP('Overflow (8)'!$C29,Cities!$A$3:$A$356,Cities!$C$3:$C$356)</f>
        <v>0</v>
      </c>
      <c r="B371" s="959">
        <f>'Print Return'!L$37</f>
        <v>0</v>
      </c>
      <c r="C371" s="858">
        <f>'Overflow (8)'!$M29</f>
        <v>0</v>
      </c>
      <c r="D371" s="859">
        <f t="shared" si="63"/>
        <v>0</v>
      </c>
      <c r="E371" s="825">
        <f>'Overflow (8)'!G83</f>
        <v>0</v>
      </c>
      <c r="F371" s="826">
        <f t="shared" si="64"/>
        <v>0</v>
      </c>
      <c r="G371" s="960">
        <f t="shared" si="65"/>
        <v>0</v>
      </c>
      <c r="H371" s="122">
        <f>'Print Return'!L$41</f>
        <v>0</v>
      </c>
      <c r="I371" s="293">
        <f>IF('Overflow (8)'!O29&lt;2015,MIN(G371,H371)/2,MIN(354,H371))</f>
        <v>0</v>
      </c>
      <c r="J371" s="960">
        <f t="shared" si="66"/>
        <v>0</v>
      </c>
      <c r="K371" s="293">
        <f t="shared" si="67"/>
        <v>0</v>
      </c>
      <c r="L371" s="860">
        <f>LOOKUP('Overflow (8)'!$C29,Cities!$A$3:$A$356,Cities!$D$3:$D$356)</f>
        <v>0</v>
      </c>
      <c r="M371" s="861">
        <f t="shared" si="68"/>
        <v>0</v>
      </c>
      <c r="O371" s="271">
        <f>LOOKUP('Overflow (8)'!$C29,Cities!$A$3:$A$356,Cities!$C$3:$C$356)</f>
        <v>0</v>
      </c>
      <c r="P371" s="857">
        <f>IF('Overflow (8)'!O29&lt;2015,'Print Return'!L$45,J371)</f>
        <v>0</v>
      </c>
      <c r="Q371" s="858">
        <f>'Overflow (8)'!$M29</f>
        <v>0</v>
      </c>
      <c r="R371" s="859">
        <f t="shared" si="69"/>
        <v>0</v>
      </c>
      <c r="S371" s="825">
        <f>'Overflow (8)'!G83</f>
        <v>0</v>
      </c>
      <c r="T371" s="826">
        <f t="shared" si="70"/>
        <v>0</v>
      </c>
      <c r="U371" s="860">
        <f>LOOKUP('Overflow (8)'!$C29,Cities!$A$3:$A$356,Cities!$D$3:$D$356)</f>
        <v>0</v>
      </c>
      <c r="V371" s="861">
        <f t="shared" si="71"/>
        <v>0</v>
      </c>
    </row>
    <row r="372" spans="1:22" x14ac:dyDescent="0.2">
      <c r="A372" s="271">
        <f>LOOKUP('Overflow (8)'!$C30,Cities!$A$3:$A$356,Cities!$C$3:$C$356)</f>
        <v>0</v>
      </c>
      <c r="B372" s="959">
        <f>'Print Return'!L$37</f>
        <v>0</v>
      </c>
      <c r="C372" s="858">
        <f>'Overflow (8)'!$M30</f>
        <v>0</v>
      </c>
      <c r="D372" s="859">
        <f t="shared" si="63"/>
        <v>0</v>
      </c>
      <c r="E372" s="825">
        <f>'Overflow (8)'!G84</f>
        <v>0</v>
      </c>
      <c r="F372" s="826">
        <f t="shared" si="64"/>
        <v>0</v>
      </c>
      <c r="G372" s="960">
        <f t="shared" si="65"/>
        <v>0</v>
      </c>
      <c r="H372" s="122">
        <f>'Print Return'!L$41</f>
        <v>0</v>
      </c>
      <c r="I372" s="293">
        <f>IF('Overflow (8)'!O30&lt;2015,MIN(G372,H372)/2,MIN(354,H372))</f>
        <v>0</v>
      </c>
      <c r="J372" s="960">
        <f t="shared" si="66"/>
        <v>0</v>
      </c>
      <c r="K372" s="293">
        <f t="shared" si="67"/>
        <v>0</v>
      </c>
      <c r="L372" s="860">
        <f>LOOKUP('Overflow (8)'!$C30,Cities!$A$3:$A$356,Cities!$D$3:$D$356)</f>
        <v>0</v>
      </c>
      <c r="M372" s="861">
        <f t="shared" si="68"/>
        <v>0</v>
      </c>
      <c r="O372" s="271">
        <f>LOOKUP('Overflow (8)'!$C30,Cities!$A$3:$A$356,Cities!$C$3:$C$356)</f>
        <v>0</v>
      </c>
      <c r="P372" s="857">
        <f>IF('Overflow (8)'!O30&lt;2015,'Print Return'!L$45,J372)</f>
        <v>0</v>
      </c>
      <c r="Q372" s="858">
        <f>'Overflow (8)'!$M30</f>
        <v>0</v>
      </c>
      <c r="R372" s="859">
        <f t="shared" si="69"/>
        <v>0</v>
      </c>
      <c r="S372" s="825">
        <f>'Overflow (8)'!G84</f>
        <v>0</v>
      </c>
      <c r="T372" s="826">
        <f t="shared" si="70"/>
        <v>0</v>
      </c>
      <c r="U372" s="860">
        <f>LOOKUP('Overflow (8)'!$C30,Cities!$A$3:$A$356,Cities!$D$3:$D$356)</f>
        <v>0</v>
      </c>
      <c r="V372" s="861">
        <f t="shared" si="71"/>
        <v>0</v>
      </c>
    </row>
    <row r="373" spans="1:22" x14ac:dyDescent="0.2">
      <c r="A373" s="271">
        <f>LOOKUP('Overflow (8)'!$C31,Cities!$A$3:$A$356,Cities!$C$3:$C$356)</f>
        <v>0</v>
      </c>
      <c r="B373" s="959">
        <f>'Print Return'!L$37</f>
        <v>0</v>
      </c>
      <c r="C373" s="858">
        <f>'Overflow (8)'!$M31</f>
        <v>0</v>
      </c>
      <c r="D373" s="859">
        <f t="shared" si="63"/>
        <v>0</v>
      </c>
      <c r="E373" s="825">
        <f>'Overflow (8)'!G85</f>
        <v>0</v>
      </c>
      <c r="F373" s="826">
        <f t="shared" si="64"/>
        <v>0</v>
      </c>
      <c r="G373" s="960">
        <f t="shared" si="65"/>
        <v>0</v>
      </c>
      <c r="H373" s="122">
        <f>'Print Return'!L$41</f>
        <v>0</v>
      </c>
      <c r="I373" s="293">
        <f>IF('Overflow (8)'!O31&lt;2015,MIN(G373,H373)/2,MIN(354,H373))</f>
        <v>0</v>
      </c>
      <c r="J373" s="960">
        <f t="shared" si="66"/>
        <v>0</v>
      </c>
      <c r="K373" s="293">
        <f t="shared" si="67"/>
        <v>0</v>
      </c>
      <c r="L373" s="860">
        <f>LOOKUP('Overflow (8)'!$C31,Cities!$A$3:$A$356,Cities!$D$3:$D$356)</f>
        <v>0</v>
      </c>
      <c r="M373" s="861">
        <f t="shared" si="68"/>
        <v>0</v>
      </c>
      <c r="O373" s="271">
        <f>LOOKUP('Overflow (8)'!$C31,Cities!$A$3:$A$356,Cities!$C$3:$C$356)</f>
        <v>0</v>
      </c>
      <c r="P373" s="857">
        <f>IF('Overflow (8)'!O31&lt;2015,'Print Return'!L$45,J373)</f>
        <v>0</v>
      </c>
      <c r="Q373" s="858">
        <f>'Overflow (8)'!$M31</f>
        <v>0</v>
      </c>
      <c r="R373" s="859">
        <f t="shared" si="69"/>
        <v>0</v>
      </c>
      <c r="S373" s="825">
        <f>'Overflow (8)'!G85</f>
        <v>0</v>
      </c>
      <c r="T373" s="826">
        <f t="shared" si="70"/>
        <v>0</v>
      </c>
      <c r="U373" s="860">
        <f>LOOKUP('Overflow (8)'!$C31,Cities!$A$3:$A$356,Cities!$D$3:$D$356)</f>
        <v>0</v>
      </c>
      <c r="V373" s="861">
        <f t="shared" si="71"/>
        <v>0</v>
      </c>
    </row>
    <row r="374" spans="1:22" x14ac:dyDescent="0.2">
      <c r="A374" s="271">
        <f>LOOKUP('Overflow (8)'!$C32,Cities!$A$3:$A$356,Cities!$C$3:$C$356)</f>
        <v>0</v>
      </c>
      <c r="B374" s="959">
        <f>'Print Return'!L$37</f>
        <v>0</v>
      </c>
      <c r="C374" s="858">
        <f>'Overflow (8)'!$M32</f>
        <v>0</v>
      </c>
      <c r="D374" s="859">
        <f t="shared" si="63"/>
        <v>0</v>
      </c>
      <c r="E374" s="825">
        <f>'Overflow (8)'!G86</f>
        <v>0</v>
      </c>
      <c r="F374" s="826">
        <f t="shared" si="64"/>
        <v>0</v>
      </c>
      <c r="G374" s="960">
        <f t="shared" si="65"/>
        <v>0</v>
      </c>
      <c r="H374" s="122">
        <f>'Print Return'!L$41</f>
        <v>0</v>
      </c>
      <c r="I374" s="293">
        <f>IF('Overflow (8)'!O32&lt;2015,MIN(G374,H374)/2,MIN(354,H374))</f>
        <v>0</v>
      </c>
      <c r="J374" s="960">
        <f t="shared" si="66"/>
        <v>0</v>
      </c>
      <c r="K374" s="293">
        <f t="shared" si="67"/>
        <v>0</v>
      </c>
      <c r="L374" s="860">
        <f>LOOKUP('Overflow (8)'!$C32,Cities!$A$3:$A$356,Cities!$D$3:$D$356)</f>
        <v>0</v>
      </c>
      <c r="M374" s="861">
        <f t="shared" si="68"/>
        <v>0</v>
      </c>
      <c r="O374" s="271">
        <f>LOOKUP('Overflow (8)'!$C32,Cities!$A$3:$A$356,Cities!$C$3:$C$356)</f>
        <v>0</v>
      </c>
      <c r="P374" s="857">
        <f>IF('Overflow (8)'!O32&lt;2015,'Print Return'!L$45,J374)</f>
        <v>0</v>
      </c>
      <c r="Q374" s="858">
        <f>'Overflow (8)'!$M32</f>
        <v>0</v>
      </c>
      <c r="R374" s="859">
        <f t="shared" si="69"/>
        <v>0</v>
      </c>
      <c r="S374" s="825">
        <f>'Overflow (8)'!G86</f>
        <v>0</v>
      </c>
      <c r="T374" s="826">
        <f t="shared" si="70"/>
        <v>0</v>
      </c>
      <c r="U374" s="860">
        <f>LOOKUP('Overflow (8)'!$C32,Cities!$A$3:$A$356,Cities!$D$3:$D$356)</f>
        <v>0</v>
      </c>
      <c r="V374" s="861">
        <f t="shared" si="71"/>
        <v>0</v>
      </c>
    </row>
    <row r="375" spans="1:22" x14ac:dyDescent="0.2">
      <c r="A375" s="271">
        <f>LOOKUP('Overflow (8)'!$C33,Cities!$A$3:$A$356,Cities!$C$3:$C$356)</f>
        <v>0</v>
      </c>
      <c r="B375" s="959">
        <f>'Print Return'!L$37</f>
        <v>0</v>
      </c>
      <c r="C375" s="858">
        <f>'Overflow (8)'!$M33</f>
        <v>0</v>
      </c>
      <c r="D375" s="859">
        <f t="shared" si="63"/>
        <v>0</v>
      </c>
      <c r="E375" s="825">
        <f>'Overflow (8)'!G87</f>
        <v>0</v>
      </c>
      <c r="F375" s="826">
        <f t="shared" si="64"/>
        <v>0</v>
      </c>
      <c r="G375" s="960">
        <f t="shared" si="65"/>
        <v>0</v>
      </c>
      <c r="H375" s="122">
        <f>'Print Return'!L$41</f>
        <v>0</v>
      </c>
      <c r="I375" s="293">
        <f>IF('Overflow (8)'!O33&lt;2015,MIN(G375,H375)/2,MIN(354,H375))</f>
        <v>0</v>
      </c>
      <c r="J375" s="960">
        <f t="shared" si="66"/>
        <v>0</v>
      </c>
      <c r="K375" s="293">
        <f t="shared" si="67"/>
        <v>0</v>
      </c>
      <c r="L375" s="860">
        <f>LOOKUP('Overflow (8)'!$C33,Cities!$A$3:$A$356,Cities!$D$3:$D$356)</f>
        <v>0</v>
      </c>
      <c r="M375" s="861">
        <f t="shared" si="68"/>
        <v>0</v>
      </c>
      <c r="O375" s="271">
        <f>LOOKUP('Overflow (8)'!$C33,Cities!$A$3:$A$356,Cities!$C$3:$C$356)</f>
        <v>0</v>
      </c>
      <c r="P375" s="857">
        <f>IF('Overflow (8)'!O33&lt;2015,'Print Return'!L$45,J375)</f>
        <v>0</v>
      </c>
      <c r="Q375" s="858">
        <f>'Overflow (8)'!$M33</f>
        <v>0</v>
      </c>
      <c r="R375" s="859">
        <f t="shared" si="69"/>
        <v>0</v>
      </c>
      <c r="S375" s="825">
        <f>'Overflow (8)'!G87</f>
        <v>0</v>
      </c>
      <c r="T375" s="826">
        <f t="shared" si="70"/>
        <v>0</v>
      </c>
      <c r="U375" s="860">
        <f>LOOKUP('Overflow (8)'!$C33,Cities!$A$3:$A$356,Cities!$D$3:$D$356)</f>
        <v>0</v>
      </c>
      <c r="V375" s="861">
        <f t="shared" si="71"/>
        <v>0</v>
      </c>
    </row>
    <row r="376" spans="1:22" x14ac:dyDescent="0.2">
      <c r="A376" s="271">
        <f>LOOKUP('Overflow (8)'!$C34,Cities!$A$3:$A$356,Cities!$C$3:$C$356)</f>
        <v>0</v>
      </c>
      <c r="B376" s="959">
        <f>'Print Return'!L$37</f>
        <v>0</v>
      </c>
      <c r="C376" s="858">
        <f>'Overflow (8)'!$M34</f>
        <v>0</v>
      </c>
      <c r="D376" s="859">
        <f t="shared" si="63"/>
        <v>0</v>
      </c>
      <c r="E376" s="825">
        <f>'Overflow (8)'!G88</f>
        <v>0</v>
      </c>
      <c r="F376" s="826">
        <f t="shared" si="64"/>
        <v>0</v>
      </c>
      <c r="G376" s="960">
        <f t="shared" si="65"/>
        <v>0</v>
      </c>
      <c r="H376" s="122">
        <f>'Print Return'!L$41</f>
        <v>0</v>
      </c>
      <c r="I376" s="293">
        <f>IF('Overflow (8)'!O34&lt;2015,MIN(G376,H376)/2,MIN(354,H376))</f>
        <v>0</v>
      </c>
      <c r="J376" s="960">
        <f t="shared" si="66"/>
        <v>0</v>
      </c>
      <c r="K376" s="293">
        <f t="shared" si="67"/>
        <v>0</v>
      </c>
      <c r="L376" s="860">
        <f>LOOKUP('Overflow (8)'!$C34,Cities!$A$3:$A$356,Cities!$D$3:$D$356)</f>
        <v>0</v>
      </c>
      <c r="M376" s="861">
        <f t="shared" si="68"/>
        <v>0</v>
      </c>
      <c r="O376" s="271">
        <f>LOOKUP('Overflow (8)'!$C34,Cities!$A$3:$A$356,Cities!$C$3:$C$356)</f>
        <v>0</v>
      </c>
      <c r="P376" s="857">
        <f>IF('Overflow (8)'!O34&lt;2015,'Print Return'!L$45,J376)</f>
        <v>0</v>
      </c>
      <c r="Q376" s="858">
        <f>'Overflow (8)'!$M34</f>
        <v>0</v>
      </c>
      <c r="R376" s="859">
        <f t="shared" si="69"/>
        <v>0</v>
      </c>
      <c r="S376" s="825">
        <f>'Overflow (8)'!G88</f>
        <v>0</v>
      </c>
      <c r="T376" s="826">
        <f t="shared" si="70"/>
        <v>0</v>
      </c>
      <c r="U376" s="860">
        <f>LOOKUP('Overflow (8)'!$C34,Cities!$A$3:$A$356,Cities!$D$3:$D$356)</f>
        <v>0</v>
      </c>
      <c r="V376" s="861">
        <f t="shared" si="71"/>
        <v>0</v>
      </c>
    </row>
    <row r="377" spans="1:22" x14ac:dyDescent="0.2">
      <c r="A377" s="271">
        <f>LOOKUP('Overflow (8)'!$C35,Cities!$A$3:$A$356,Cities!$C$3:$C$356)</f>
        <v>0</v>
      </c>
      <c r="B377" s="959">
        <f>'Print Return'!L$37</f>
        <v>0</v>
      </c>
      <c r="C377" s="858">
        <f>'Overflow (8)'!$M35</f>
        <v>0</v>
      </c>
      <c r="D377" s="859">
        <f t="shared" si="63"/>
        <v>0</v>
      </c>
      <c r="E377" s="825">
        <f>'Overflow (8)'!G89</f>
        <v>0</v>
      </c>
      <c r="F377" s="826">
        <f t="shared" si="64"/>
        <v>0</v>
      </c>
      <c r="G377" s="960">
        <f t="shared" si="65"/>
        <v>0</v>
      </c>
      <c r="H377" s="122">
        <f>'Print Return'!L$41</f>
        <v>0</v>
      </c>
      <c r="I377" s="293">
        <f>IF('Overflow (8)'!O35&lt;2015,MIN(G377,H377)/2,MIN(354,H377))</f>
        <v>0</v>
      </c>
      <c r="J377" s="960">
        <f t="shared" si="66"/>
        <v>0</v>
      </c>
      <c r="K377" s="293">
        <f t="shared" si="67"/>
        <v>0</v>
      </c>
      <c r="L377" s="860">
        <f>LOOKUP('Overflow (8)'!$C35,Cities!$A$3:$A$356,Cities!$D$3:$D$356)</f>
        <v>0</v>
      </c>
      <c r="M377" s="861">
        <f t="shared" si="68"/>
        <v>0</v>
      </c>
      <c r="O377" s="271">
        <f>LOOKUP('Overflow (8)'!$C35,Cities!$A$3:$A$356,Cities!$C$3:$C$356)</f>
        <v>0</v>
      </c>
      <c r="P377" s="857">
        <f>IF('Overflow (8)'!O35&lt;2015,'Print Return'!L$45,J377)</f>
        <v>0</v>
      </c>
      <c r="Q377" s="858">
        <f>'Overflow (8)'!$M35</f>
        <v>0</v>
      </c>
      <c r="R377" s="859">
        <f t="shared" si="69"/>
        <v>0</v>
      </c>
      <c r="S377" s="825">
        <f>'Overflow (8)'!G89</f>
        <v>0</v>
      </c>
      <c r="T377" s="826">
        <f t="shared" si="70"/>
        <v>0</v>
      </c>
      <c r="U377" s="860">
        <f>LOOKUP('Overflow (8)'!$C35,Cities!$A$3:$A$356,Cities!$D$3:$D$356)</f>
        <v>0</v>
      </c>
      <c r="V377" s="861">
        <f t="shared" si="71"/>
        <v>0</v>
      </c>
    </row>
    <row r="378" spans="1:22" x14ac:dyDescent="0.2">
      <c r="A378" s="271">
        <f>LOOKUP('Overflow (8)'!$C36,Cities!$A$3:$A$356,Cities!$C$3:$C$356)</f>
        <v>0</v>
      </c>
      <c r="B378" s="959">
        <f>'Print Return'!L$37</f>
        <v>0</v>
      </c>
      <c r="C378" s="858">
        <f>'Overflow (8)'!$M36</f>
        <v>0</v>
      </c>
      <c r="D378" s="859">
        <f t="shared" si="63"/>
        <v>0</v>
      </c>
      <c r="E378" s="825">
        <f>'Overflow (8)'!G90</f>
        <v>0</v>
      </c>
      <c r="F378" s="826">
        <f t="shared" si="64"/>
        <v>0</v>
      </c>
      <c r="G378" s="960">
        <f t="shared" si="65"/>
        <v>0</v>
      </c>
      <c r="H378" s="122">
        <f>'Print Return'!L$41</f>
        <v>0</v>
      </c>
      <c r="I378" s="293">
        <f>IF('Overflow (8)'!O36&lt;2015,MIN(G378,H378)/2,MIN(354,H378))</f>
        <v>0</v>
      </c>
      <c r="J378" s="960">
        <f t="shared" si="66"/>
        <v>0</v>
      </c>
      <c r="K378" s="293">
        <f t="shared" si="67"/>
        <v>0</v>
      </c>
      <c r="L378" s="860">
        <f>LOOKUP('Overflow (8)'!$C36,Cities!$A$3:$A$356,Cities!$D$3:$D$356)</f>
        <v>0</v>
      </c>
      <c r="M378" s="861">
        <f t="shared" si="68"/>
        <v>0</v>
      </c>
      <c r="O378" s="271">
        <f>LOOKUP('Overflow (8)'!$C36,Cities!$A$3:$A$356,Cities!$C$3:$C$356)</f>
        <v>0</v>
      </c>
      <c r="P378" s="857">
        <f>IF('Overflow (8)'!O36&lt;2015,'Print Return'!L$45,J378)</f>
        <v>0</v>
      </c>
      <c r="Q378" s="858">
        <f>'Overflow (8)'!$M36</f>
        <v>0</v>
      </c>
      <c r="R378" s="859">
        <f t="shared" si="69"/>
        <v>0</v>
      </c>
      <c r="S378" s="825">
        <f>'Overflow (8)'!G90</f>
        <v>0</v>
      </c>
      <c r="T378" s="826">
        <f t="shared" si="70"/>
        <v>0</v>
      </c>
      <c r="U378" s="860">
        <f>LOOKUP('Overflow (8)'!$C36,Cities!$A$3:$A$356,Cities!$D$3:$D$356)</f>
        <v>0</v>
      </c>
      <c r="V378" s="861">
        <f t="shared" si="71"/>
        <v>0</v>
      </c>
    </row>
    <row r="379" spans="1:22" x14ac:dyDescent="0.2">
      <c r="A379" s="271">
        <f>LOOKUP('Overflow (8)'!$C37,Cities!$A$3:$A$356,Cities!$C$3:$C$356)</f>
        <v>0</v>
      </c>
      <c r="B379" s="959">
        <f>'Print Return'!L$37</f>
        <v>0</v>
      </c>
      <c r="C379" s="858">
        <f>'Overflow (8)'!$M37</f>
        <v>0</v>
      </c>
      <c r="D379" s="859">
        <f t="shared" si="63"/>
        <v>0</v>
      </c>
      <c r="E379" s="825">
        <f>'Overflow (8)'!G91</f>
        <v>0</v>
      </c>
      <c r="F379" s="826">
        <f t="shared" si="64"/>
        <v>0</v>
      </c>
      <c r="G379" s="960">
        <f t="shared" si="65"/>
        <v>0</v>
      </c>
      <c r="H379" s="122">
        <f>'Print Return'!L$41</f>
        <v>0</v>
      </c>
      <c r="I379" s="293">
        <f>IF('Overflow (8)'!O37&lt;2015,MIN(G379,H379)/2,MIN(354,H379))</f>
        <v>0</v>
      </c>
      <c r="J379" s="960">
        <f t="shared" si="66"/>
        <v>0</v>
      </c>
      <c r="K379" s="293">
        <f t="shared" si="67"/>
        <v>0</v>
      </c>
      <c r="L379" s="860">
        <f>LOOKUP('Overflow (8)'!$C37,Cities!$A$3:$A$356,Cities!$D$3:$D$356)</f>
        <v>0</v>
      </c>
      <c r="M379" s="861">
        <f t="shared" si="68"/>
        <v>0</v>
      </c>
      <c r="O379" s="271">
        <f>LOOKUP('Overflow (8)'!$C37,Cities!$A$3:$A$356,Cities!$C$3:$C$356)</f>
        <v>0</v>
      </c>
      <c r="P379" s="857">
        <f>IF('Overflow (8)'!O37&lt;2015,'Print Return'!L$45,J379)</f>
        <v>0</v>
      </c>
      <c r="Q379" s="858">
        <f>'Overflow (8)'!$M37</f>
        <v>0</v>
      </c>
      <c r="R379" s="859">
        <f t="shared" si="69"/>
        <v>0</v>
      </c>
      <c r="S379" s="825">
        <f>'Overflow (8)'!G91</f>
        <v>0</v>
      </c>
      <c r="T379" s="826">
        <f t="shared" si="70"/>
        <v>0</v>
      </c>
      <c r="U379" s="860">
        <f>LOOKUP('Overflow (8)'!$C37,Cities!$A$3:$A$356,Cities!$D$3:$D$356)</f>
        <v>0</v>
      </c>
      <c r="V379" s="861">
        <f t="shared" si="71"/>
        <v>0</v>
      </c>
    </row>
    <row r="380" spans="1:22" x14ac:dyDescent="0.2">
      <c r="A380" s="271">
        <f>LOOKUP('Overflow (8)'!$C38,Cities!$A$3:$A$356,Cities!$C$3:$C$356)</f>
        <v>0</v>
      </c>
      <c r="B380" s="959">
        <f>'Print Return'!L$37</f>
        <v>0</v>
      </c>
      <c r="C380" s="858">
        <f>'Overflow (8)'!$M38</f>
        <v>0</v>
      </c>
      <c r="D380" s="859">
        <f t="shared" si="63"/>
        <v>0</v>
      </c>
      <c r="E380" s="825">
        <f>'Overflow (8)'!G92</f>
        <v>0</v>
      </c>
      <c r="F380" s="826">
        <f t="shared" si="64"/>
        <v>0</v>
      </c>
      <c r="G380" s="960">
        <f t="shared" si="65"/>
        <v>0</v>
      </c>
      <c r="H380" s="122">
        <f>'Print Return'!L$41</f>
        <v>0</v>
      </c>
      <c r="I380" s="293">
        <f>IF('Overflow (8)'!O38&lt;2015,MIN(G380,H380)/2,MIN(354,H380))</f>
        <v>0</v>
      </c>
      <c r="J380" s="960">
        <f t="shared" si="66"/>
        <v>0</v>
      </c>
      <c r="K380" s="293">
        <f t="shared" si="67"/>
        <v>0</v>
      </c>
      <c r="L380" s="860">
        <f>LOOKUP('Overflow (8)'!$C38,Cities!$A$3:$A$356,Cities!$D$3:$D$356)</f>
        <v>0</v>
      </c>
      <c r="M380" s="861">
        <f t="shared" si="68"/>
        <v>0</v>
      </c>
      <c r="O380" s="271">
        <f>LOOKUP('Overflow (8)'!$C38,Cities!$A$3:$A$356,Cities!$C$3:$C$356)</f>
        <v>0</v>
      </c>
      <c r="P380" s="857">
        <f>IF('Overflow (8)'!O38&lt;2015,'Print Return'!L$45,J380)</f>
        <v>0</v>
      </c>
      <c r="Q380" s="858">
        <f>'Overflow (8)'!$M38</f>
        <v>0</v>
      </c>
      <c r="R380" s="859">
        <f t="shared" si="69"/>
        <v>0</v>
      </c>
      <c r="S380" s="825">
        <f>'Overflow (8)'!G92</f>
        <v>0</v>
      </c>
      <c r="T380" s="826">
        <f t="shared" si="70"/>
        <v>0</v>
      </c>
      <c r="U380" s="860">
        <f>LOOKUP('Overflow (8)'!$C38,Cities!$A$3:$A$356,Cities!$D$3:$D$356)</f>
        <v>0</v>
      </c>
      <c r="V380" s="861">
        <f t="shared" si="71"/>
        <v>0</v>
      </c>
    </row>
    <row r="381" spans="1:22" x14ac:dyDescent="0.2">
      <c r="A381" s="271">
        <f>LOOKUP('Overflow (8)'!$C39,Cities!$A$3:$A$356,Cities!$C$3:$C$356)</f>
        <v>0</v>
      </c>
      <c r="B381" s="959">
        <f>'Print Return'!L$37</f>
        <v>0</v>
      </c>
      <c r="C381" s="858">
        <f>'Overflow (8)'!$M39</f>
        <v>0</v>
      </c>
      <c r="D381" s="859">
        <f t="shared" si="63"/>
        <v>0</v>
      </c>
      <c r="E381" s="825">
        <f>'Overflow (8)'!G93</f>
        <v>0</v>
      </c>
      <c r="F381" s="826">
        <f t="shared" si="64"/>
        <v>0</v>
      </c>
      <c r="G381" s="960">
        <f t="shared" si="65"/>
        <v>0</v>
      </c>
      <c r="H381" s="122">
        <f>'Print Return'!L$41</f>
        <v>0</v>
      </c>
      <c r="I381" s="293">
        <f>IF('Overflow (8)'!O39&lt;2015,MIN(G381,H381)/2,MIN(354,H381))</f>
        <v>0</v>
      </c>
      <c r="J381" s="960">
        <f t="shared" si="66"/>
        <v>0</v>
      </c>
      <c r="K381" s="293">
        <f t="shared" si="67"/>
        <v>0</v>
      </c>
      <c r="L381" s="860">
        <f>LOOKUP('Overflow (8)'!$C39,Cities!$A$3:$A$356,Cities!$D$3:$D$356)</f>
        <v>0</v>
      </c>
      <c r="M381" s="861">
        <f t="shared" si="68"/>
        <v>0</v>
      </c>
      <c r="O381" s="271">
        <f>LOOKUP('Overflow (8)'!$C39,Cities!$A$3:$A$356,Cities!$C$3:$C$356)</f>
        <v>0</v>
      </c>
      <c r="P381" s="857">
        <f>IF('Overflow (8)'!O39&lt;2015,'Print Return'!L$45,J381)</f>
        <v>0</v>
      </c>
      <c r="Q381" s="858">
        <f>'Overflow (8)'!$M39</f>
        <v>0</v>
      </c>
      <c r="R381" s="859">
        <f t="shared" si="69"/>
        <v>0</v>
      </c>
      <c r="S381" s="825">
        <f>'Overflow (8)'!G93</f>
        <v>0</v>
      </c>
      <c r="T381" s="826">
        <f t="shared" si="70"/>
        <v>0</v>
      </c>
      <c r="U381" s="860">
        <f>LOOKUP('Overflow (8)'!$C39,Cities!$A$3:$A$356,Cities!$D$3:$D$356)</f>
        <v>0</v>
      </c>
      <c r="V381" s="861">
        <f t="shared" si="71"/>
        <v>0</v>
      </c>
    </row>
    <row r="382" spans="1:22" x14ac:dyDescent="0.2">
      <c r="A382" s="271">
        <f>LOOKUP('Overflow (8)'!$C40,Cities!$A$3:$A$356,Cities!$C$3:$C$356)</f>
        <v>0</v>
      </c>
      <c r="B382" s="959">
        <f>'Print Return'!L$37</f>
        <v>0</v>
      </c>
      <c r="C382" s="858">
        <f>'Overflow (8)'!$M40</f>
        <v>0</v>
      </c>
      <c r="D382" s="859">
        <f t="shared" si="63"/>
        <v>0</v>
      </c>
      <c r="E382" s="825">
        <f>'Overflow (8)'!G94</f>
        <v>0</v>
      </c>
      <c r="F382" s="826">
        <f t="shared" si="64"/>
        <v>0</v>
      </c>
      <c r="G382" s="960">
        <f t="shared" si="65"/>
        <v>0</v>
      </c>
      <c r="H382" s="122">
        <f>'Print Return'!L$41</f>
        <v>0</v>
      </c>
      <c r="I382" s="293">
        <f>IF('Overflow (8)'!O40&lt;2015,MIN(G382,H382)/2,MIN(354,H382))</f>
        <v>0</v>
      </c>
      <c r="J382" s="960">
        <f t="shared" si="66"/>
        <v>0</v>
      </c>
      <c r="K382" s="293">
        <f t="shared" si="67"/>
        <v>0</v>
      </c>
      <c r="L382" s="860">
        <f>LOOKUP('Overflow (8)'!$C40,Cities!$A$3:$A$356,Cities!$D$3:$D$356)</f>
        <v>0</v>
      </c>
      <c r="M382" s="861">
        <f t="shared" si="68"/>
        <v>0</v>
      </c>
      <c r="O382" s="271">
        <f>LOOKUP('Overflow (8)'!$C40,Cities!$A$3:$A$356,Cities!$C$3:$C$356)</f>
        <v>0</v>
      </c>
      <c r="P382" s="857">
        <f>IF('Overflow (8)'!O40&lt;2015,'Print Return'!L$45,J382)</f>
        <v>0</v>
      </c>
      <c r="Q382" s="858">
        <f>'Overflow (8)'!$M40</f>
        <v>0</v>
      </c>
      <c r="R382" s="859">
        <f t="shared" si="69"/>
        <v>0</v>
      </c>
      <c r="S382" s="825">
        <f>'Overflow (8)'!G94</f>
        <v>0</v>
      </c>
      <c r="T382" s="826">
        <f t="shared" si="70"/>
        <v>0</v>
      </c>
      <c r="U382" s="860">
        <f>LOOKUP('Overflow (8)'!$C40,Cities!$A$3:$A$356,Cities!$D$3:$D$356)</f>
        <v>0</v>
      </c>
      <c r="V382" s="861">
        <f t="shared" si="71"/>
        <v>0</v>
      </c>
    </row>
    <row r="383" spans="1:22" x14ac:dyDescent="0.2">
      <c r="A383" s="271">
        <f>LOOKUP('Overflow (8)'!$C41,Cities!$A$3:$A$356,Cities!$C$3:$C$356)</f>
        <v>0</v>
      </c>
      <c r="B383" s="959">
        <f>'Print Return'!L$37</f>
        <v>0</v>
      </c>
      <c r="C383" s="858">
        <f>'Overflow (8)'!$M41</f>
        <v>0</v>
      </c>
      <c r="D383" s="859">
        <f t="shared" si="63"/>
        <v>0</v>
      </c>
      <c r="E383" s="825">
        <f>'Overflow (8)'!G95</f>
        <v>0</v>
      </c>
      <c r="F383" s="826">
        <f t="shared" si="64"/>
        <v>0</v>
      </c>
      <c r="G383" s="960">
        <f t="shared" si="65"/>
        <v>0</v>
      </c>
      <c r="H383" s="122">
        <f>'Print Return'!L$41</f>
        <v>0</v>
      </c>
      <c r="I383" s="293">
        <f>IF('Overflow (8)'!O41&lt;2015,MIN(G383,H383)/2,MIN(354,H383))</f>
        <v>0</v>
      </c>
      <c r="J383" s="960">
        <f t="shared" si="66"/>
        <v>0</v>
      </c>
      <c r="K383" s="293">
        <f t="shared" si="67"/>
        <v>0</v>
      </c>
      <c r="L383" s="860">
        <f>LOOKUP('Overflow (8)'!$C41,Cities!$A$3:$A$356,Cities!$D$3:$D$356)</f>
        <v>0</v>
      </c>
      <c r="M383" s="861">
        <f t="shared" si="68"/>
        <v>0</v>
      </c>
      <c r="O383" s="271">
        <f>LOOKUP('Overflow (8)'!$C41,Cities!$A$3:$A$356,Cities!$C$3:$C$356)</f>
        <v>0</v>
      </c>
      <c r="P383" s="857">
        <f>IF('Overflow (8)'!O41&lt;2015,'Print Return'!L$45,J383)</f>
        <v>0</v>
      </c>
      <c r="Q383" s="858">
        <f>'Overflow (8)'!$M41</f>
        <v>0</v>
      </c>
      <c r="R383" s="859">
        <f t="shared" si="69"/>
        <v>0</v>
      </c>
      <c r="S383" s="825">
        <f>'Overflow (8)'!G95</f>
        <v>0</v>
      </c>
      <c r="T383" s="826">
        <f t="shared" si="70"/>
        <v>0</v>
      </c>
      <c r="U383" s="860">
        <f>LOOKUP('Overflow (8)'!$C41,Cities!$A$3:$A$356,Cities!$D$3:$D$356)</f>
        <v>0</v>
      </c>
      <c r="V383" s="861">
        <f t="shared" si="71"/>
        <v>0</v>
      </c>
    </row>
    <row r="384" spans="1:22" x14ac:dyDescent="0.2">
      <c r="A384" s="271">
        <f>LOOKUP('Overflow (8)'!$C42,Cities!$A$3:$A$356,Cities!$C$3:$C$356)</f>
        <v>0</v>
      </c>
      <c r="B384" s="959">
        <f>'Print Return'!L$37</f>
        <v>0</v>
      </c>
      <c r="C384" s="858">
        <f>'Overflow (8)'!$M42</f>
        <v>0</v>
      </c>
      <c r="D384" s="859">
        <f t="shared" si="63"/>
        <v>0</v>
      </c>
      <c r="E384" s="825">
        <f>'Overflow (8)'!G96</f>
        <v>0</v>
      </c>
      <c r="F384" s="826">
        <f t="shared" si="64"/>
        <v>0</v>
      </c>
      <c r="G384" s="960">
        <f t="shared" si="65"/>
        <v>0</v>
      </c>
      <c r="H384" s="122">
        <f>'Print Return'!L$41</f>
        <v>0</v>
      </c>
      <c r="I384" s="293">
        <f>IF('Overflow (8)'!O42&lt;2015,MIN(G384,H384)/2,MIN(354,H384))</f>
        <v>0</v>
      </c>
      <c r="J384" s="960">
        <f t="shared" si="66"/>
        <v>0</v>
      </c>
      <c r="K384" s="293">
        <f t="shared" si="67"/>
        <v>0</v>
      </c>
      <c r="L384" s="860">
        <f>LOOKUP('Overflow (8)'!$C42,Cities!$A$3:$A$356,Cities!$D$3:$D$356)</f>
        <v>0</v>
      </c>
      <c r="M384" s="861">
        <f t="shared" si="68"/>
        <v>0</v>
      </c>
      <c r="O384" s="271">
        <f>LOOKUP('Overflow (8)'!$C42,Cities!$A$3:$A$356,Cities!$C$3:$C$356)</f>
        <v>0</v>
      </c>
      <c r="P384" s="857">
        <f>IF('Overflow (8)'!O42&lt;2015,'Print Return'!L$45,J384)</f>
        <v>0</v>
      </c>
      <c r="Q384" s="858">
        <f>'Overflow (8)'!$M42</f>
        <v>0</v>
      </c>
      <c r="R384" s="859">
        <f t="shared" si="69"/>
        <v>0</v>
      </c>
      <c r="S384" s="825">
        <f>'Overflow (8)'!G96</f>
        <v>0</v>
      </c>
      <c r="T384" s="826">
        <f t="shared" si="70"/>
        <v>0</v>
      </c>
      <c r="U384" s="860">
        <f>LOOKUP('Overflow (8)'!$C42,Cities!$A$3:$A$356,Cities!$D$3:$D$356)</f>
        <v>0</v>
      </c>
      <c r="V384" s="861">
        <f t="shared" si="71"/>
        <v>0</v>
      </c>
    </row>
    <row r="385" spans="1:22" x14ac:dyDescent="0.2">
      <c r="A385" s="271">
        <f>LOOKUP('Overflow (8)'!$C43,Cities!$A$3:$A$356,Cities!$C$3:$C$356)</f>
        <v>0</v>
      </c>
      <c r="B385" s="959">
        <f>'Print Return'!L$37</f>
        <v>0</v>
      </c>
      <c r="C385" s="858">
        <f>'Overflow (8)'!$M43</f>
        <v>0</v>
      </c>
      <c r="D385" s="859">
        <f t="shared" si="63"/>
        <v>0</v>
      </c>
      <c r="E385" s="825">
        <f>'Overflow (8)'!G97</f>
        <v>0</v>
      </c>
      <c r="F385" s="826">
        <f t="shared" si="64"/>
        <v>0</v>
      </c>
      <c r="G385" s="960">
        <f t="shared" si="65"/>
        <v>0</v>
      </c>
      <c r="H385" s="122">
        <f>'Print Return'!L$41</f>
        <v>0</v>
      </c>
      <c r="I385" s="293">
        <f>IF('Overflow (8)'!O43&lt;2015,MIN(G385,H385)/2,MIN(354,H385))</f>
        <v>0</v>
      </c>
      <c r="J385" s="960">
        <f t="shared" si="66"/>
        <v>0</v>
      </c>
      <c r="K385" s="293">
        <f t="shared" si="67"/>
        <v>0</v>
      </c>
      <c r="L385" s="860">
        <f>LOOKUP('Overflow (8)'!$C43,Cities!$A$3:$A$356,Cities!$D$3:$D$356)</f>
        <v>0</v>
      </c>
      <c r="M385" s="861">
        <f t="shared" si="68"/>
        <v>0</v>
      </c>
      <c r="O385" s="271">
        <f>LOOKUP('Overflow (8)'!$C43,Cities!$A$3:$A$356,Cities!$C$3:$C$356)</f>
        <v>0</v>
      </c>
      <c r="P385" s="857">
        <f>IF('Overflow (8)'!O43&lt;2015,'Print Return'!L$45,J385)</f>
        <v>0</v>
      </c>
      <c r="Q385" s="858">
        <f>'Overflow (8)'!$M43</f>
        <v>0</v>
      </c>
      <c r="R385" s="859">
        <f t="shared" si="69"/>
        <v>0</v>
      </c>
      <c r="S385" s="825">
        <f>'Overflow (8)'!G97</f>
        <v>0</v>
      </c>
      <c r="T385" s="826">
        <f t="shared" si="70"/>
        <v>0</v>
      </c>
      <c r="U385" s="860">
        <f>LOOKUP('Overflow (8)'!$C43,Cities!$A$3:$A$356,Cities!$D$3:$D$356)</f>
        <v>0</v>
      </c>
      <c r="V385" s="861">
        <f t="shared" si="71"/>
        <v>0</v>
      </c>
    </row>
    <row r="386" spans="1:22" x14ac:dyDescent="0.2">
      <c r="A386" s="271">
        <f>LOOKUP('Overflow (8)'!$C44,Cities!$A$3:$A$356,Cities!$C$3:$C$356)</f>
        <v>0</v>
      </c>
      <c r="B386" s="959">
        <f>'Print Return'!L$37</f>
        <v>0</v>
      </c>
      <c r="C386" s="858">
        <f>'Overflow (8)'!$M44</f>
        <v>0</v>
      </c>
      <c r="D386" s="859">
        <f t="shared" si="63"/>
        <v>0</v>
      </c>
      <c r="E386" s="825">
        <f>'Overflow (8)'!G98</f>
        <v>0</v>
      </c>
      <c r="F386" s="826">
        <f t="shared" si="64"/>
        <v>0</v>
      </c>
      <c r="G386" s="960">
        <f t="shared" si="65"/>
        <v>0</v>
      </c>
      <c r="H386" s="122">
        <f>'Print Return'!L$41</f>
        <v>0</v>
      </c>
      <c r="I386" s="293">
        <f>IF('Overflow (8)'!O44&lt;2015,MIN(G386,H386)/2,MIN(354,H386))</f>
        <v>0</v>
      </c>
      <c r="J386" s="960">
        <f t="shared" si="66"/>
        <v>0</v>
      </c>
      <c r="K386" s="293">
        <f t="shared" si="67"/>
        <v>0</v>
      </c>
      <c r="L386" s="860">
        <f>LOOKUP('Overflow (8)'!$C44,Cities!$A$3:$A$356,Cities!$D$3:$D$356)</f>
        <v>0</v>
      </c>
      <c r="M386" s="861">
        <f t="shared" si="68"/>
        <v>0</v>
      </c>
      <c r="O386" s="271">
        <f>LOOKUP('Overflow (8)'!$C44,Cities!$A$3:$A$356,Cities!$C$3:$C$356)</f>
        <v>0</v>
      </c>
      <c r="P386" s="857">
        <f>IF('Overflow (8)'!O44&lt;2015,'Print Return'!L$45,J386)</f>
        <v>0</v>
      </c>
      <c r="Q386" s="858">
        <f>'Overflow (8)'!$M44</f>
        <v>0</v>
      </c>
      <c r="R386" s="859">
        <f t="shared" si="69"/>
        <v>0</v>
      </c>
      <c r="S386" s="825">
        <f>'Overflow (8)'!G98</f>
        <v>0</v>
      </c>
      <c r="T386" s="826">
        <f t="shared" si="70"/>
        <v>0</v>
      </c>
      <c r="U386" s="860">
        <f>LOOKUP('Overflow (8)'!$C44,Cities!$A$3:$A$356,Cities!$D$3:$D$356)</f>
        <v>0</v>
      </c>
      <c r="V386" s="861">
        <f t="shared" si="71"/>
        <v>0</v>
      </c>
    </row>
    <row r="387" spans="1:22" x14ac:dyDescent="0.2">
      <c r="A387" s="271">
        <f>LOOKUP('Overflow (8)'!$C45,Cities!$A$3:$A$356,Cities!$C$3:$C$356)</f>
        <v>0</v>
      </c>
      <c r="B387" s="959">
        <f>'Print Return'!L$37</f>
        <v>0</v>
      </c>
      <c r="C387" s="858">
        <f>'Overflow (8)'!$M45</f>
        <v>0</v>
      </c>
      <c r="D387" s="859">
        <f t="shared" si="63"/>
        <v>0</v>
      </c>
      <c r="E387" s="825">
        <f>'Overflow (8)'!G99</f>
        <v>0</v>
      </c>
      <c r="F387" s="826">
        <f t="shared" si="64"/>
        <v>0</v>
      </c>
      <c r="G387" s="960">
        <f t="shared" si="65"/>
        <v>0</v>
      </c>
      <c r="H387" s="122">
        <f>'Print Return'!L$41</f>
        <v>0</v>
      </c>
      <c r="I387" s="293">
        <f>IF('Overflow (8)'!O45&lt;2015,MIN(G387,H387)/2,MIN(354,H387))</f>
        <v>0</v>
      </c>
      <c r="J387" s="960">
        <f t="shared" si="66"/>
        <v>0</v>
      </c>
      <c r="K387" s="293">
        <f t="shared" si="67"/>
        <v>0</v>
      </c>
      <c r="L387" s="860">
        <f>LOOKUP('Overflow (8)'!$C45,Cities!$A$3:$A$356,Cities!$D$3:$D$356)</f>
        <v>0</v>
      </c>
      <c r="M387" s="861">
        <f t="shared" si="68"/>
        <v>0</v>
      </c>
      <c r="O387" s="271">
        <f>LOOKUP('Overflow (8)'!$C45,Cities!$A$3:$A$356,Cities!$C$3:$C$356)</f>
        <v>0</v>
      </c>
      <c r="P387" s="857">
        <f>IF('Overflow (8)'!O45&lt;2015,'Print Return'!L$45,J387)</f>
        <v>0</v>
      </c>
      <c r="Q387" s="858">
        <f>'Overflow (8)'!$M45</f>
        <v>0</v>
      </c>
      <c r="R387" s="859">
        <f t="shared" si="69"/>
        <v>0</v>
      </c>
      <c r="S387" s="825">
        <f>'Overflow (8)'!G99</f>
        <v>0</v>
      </c>
      <c r="T387" s="826">
        <f t="shared" si="70"/>
        <v>0</v>
      </c>
      <c r="U387" s="860">
        <f>LOOKUP('Overflow (8)'!$C45,Cities!$A$3:$A$356,Cities!$D$3:$D$356)</f>
        <v>0</v>
      </c>
      <c r="V387" s="861">
        <f t="shared" si="71"/>
        <v>0</v>
      </c>
    </row>
    <row r="388" spans="1:22" x14ac:dyDescent="0.2">
      <c r="A388" s="271">
        <f>LOOKUP('Overflow (8)'!$C46,Cities!$A$3:$A$356,Cities!$C$3:$C$356)</f>
        <v>0</v>
      </c>
      <c r="B388" s="959">
        <f>'Print Return'!L$37</f>
        <v>0</v>
      </c>
      <c r="C388" s="858">
        <f>'Overflow (8)'!$M46</f>
        <v>0</v>
      </c>
      <c r="D388" s="859">
        <f t="shared" si="63"/>
        <v>0</v>
      </c>
      <c r="E388" s="825">
        <f>'Overflow (8)'!G100</f>
        <v>0</v>
      </c>
      <c r="F388" s="826">
        <f t="shared" si="64"/>
        <v>0</v>
      </c>
      <c r="G388" s="960">
        <f t="shared" si="65"/>
        <v>0</v>
      </c>
      <c r="H388" s="122">
        <f>'Print Return'!L$41</f>
        <v>0</v>
      </c>
      <c r="I388" s="293">
        <f>IF('Overflow (8)'!O46&lt;2015,MIN(G388,H388)/2,MIN(354,H388))</f>
        <v>0</v>
      </c>
      <c r="J388" s="960">
        <f t="shared" si="66"/>
        <v>0</v>
      </c>
      <c r="K388" s="293">
        <f t="shared" si="67"/>
        <v>0</v>
      </c>
      <c r="L388" s="860">
        <f>LOOKUP('Overflow (8)'!$C46,Cities!$A$3:$A$356,Cities!$D$3:$D$356)</f>
        <v>0</v>
      </c>
      <c r="M388" s="861">
        <f t="shared" si="68"/>
        <v>0</v>
      </c>
      <c r="O388" s="271">
        <f>LOOKUP('Overflow (8)'!$C46,Cities!$A$3:$A$356,Cities!$C$3:$C$356)</f>
        <v>0</v>
      </c>
      <c r="P388" s="857">
        <f>IF('Overflow (8)'!O46&lt;2015,'Print Return'!L$45,J388)</f>
        <v>0</v>
      </c>
      <c r="Q388" s="858">
        <f>'Overflow (8)'!$M46</f>
        <v>0</v>
      </c>
      <c r="R388" s="859">
        <f t="shared" si="69"/>
        <v>0</v>
      </c>
      <c r="S388" s="825">
        <f>'Overflow (8)'!G100</f>
        <v>0</v>
      </c>
      <c r="T388" s="826">
        <f t="shared" si="70"/>
        <v>0</v>
      </c>
      <c r="U388" s="860">
        <f>LOOKUP('Overflow (8)'!$C46,Cities!$A$3:$A$356,Cities!$D$3:$D$356)</f>
        <v>0</v>
      </c>
      <c r="V388" s="861">
        <f t="shared" si="71"/>
        <v>0</v>
      </c>
    </row>
    <row r="389" spans="1:22" x14ac:dyDescent="0.2">
      <c r="A389" s="271">
        <f>LOOKUP('Overflow (8)'!$C47,Cities!$A$3:$A$356,Cities!$C$3:$C$356)</f>
        <v>0</v>
      </c>
      <c r="B389" s="959">
        <f>'Print Return'!L$37</f>
        <v>0</v>
      </c>
      <c r="C389" s="858">
        <f>'Overflow (8)'!$M47</f>
        <v>0</v>
      </c>
      <c r="D389" s="859">
        <f t="shared" si="63"/>
        <v>0</v>
      </c>
      <c r="E389" s="825">
        <f>'Overflow (8)'!G101</f>
        <v>0</v>
      </c>
      <c r="F389" s="826">
        <f t="shared" si="64"/>
        <v>0</v>
      </c>
      <c r="G389" s="960">
        <f t="shared" si="65"/>
        <v>0</v>
      </c>
      <c r="H389" s="122">
        <f>'Print Return'!L$41</f>
        <v>0</v>
      </c>
      <c r="I389" s="293">
        <f>IF('Overflow (8)'!O47&lt;2015,MIN(G389,H389)/2,MIN(354,H389))</f>
        <v>0</v>
      </c>
      <c r="J389" s="960">
        <f t="shared" si="66"/>
        <v>0</v>
      </c>
      <c r="K389" s="293">
        <f t="shared" si="67"/>
        <v>0</v>
      </c>
      <c r="L389" s="860">
        <f>LOOKUP('Overflow (8)'!$C47,Cities!$A$3:$A$356,Cities!$D$3:$D$356)</f>
        <v>0</v>
      </c>
      <c r="M389" s="861">
        <f t="shared" si="68"/>
        <v>0</v>
      </c>
      <c r="O389" s="271">
        <f>LOOKUP('Overflow (8)'!$C47,Cities!$A$3:$A$356,Cities!$C$3:$C$356)</f>
        <v>0</v>
      </c>
      <c r="P389" s="857">
        <f>IF('Overflow (8)'!O47&lt;2015,'Print Return'!L$45,J389)</f>
        <v>0</v>
      </c>
      <c r="Q389" s="858">
        <f>'Overflow (8)'!$M47</f>
        <v>0</v>
      </c>
      <c r="R389" s="859">
        <f t="shared" si="69"/>
        <v>0</v>
      </c>
      <c r="S389" s="825">
        <f>'Overflow (8)'!G101</f>
        <v>0</v>
      </c>
      <c r="T389" s="826">
        <f t="shared" si="70"/>
        <v>0</v>
      </c>
      <c r="U389" s="860">
        <f>LOOKUP('Overflow (8)'!$C47,Cities!$A$3:$A$356,Cities!$D$3:$D$356)</f>
        <v>0</v>
      </c>
      <c r="V389" s="861">
        <f t="shared" si="71"/>
        <v>0</v>
      </c>
    </row>
    <row r="390" spans="1:22" x14ac:dyDescent="0.2">
      <c r="A390" s="271">
        <f>LOOKUP('Overflow (8)'!$C48,Cities!$A$3:$A$356,Cities!$C$3:$C$356)</f>
        <v>0</v>
      </c>
      <c r="B390" s="959">
        <f>'Print Return'!L$37</f>
        <v>0</v>
      </c>
      <c r="C390" s="858">
        <f>'Overflow (8)'!$M48</f>
        <v>0</v>
      </c>
      <c r="D390" s="859">
        <f t="shared" si="63"/>
        <v>0</v>
      </c>
      <c r="E390" s="825">
        <f>'Overflow (8)'!G102</f>
        <v>0</v>
      </c>
      <c r="F390" s="826">
        <f t="shared" si="64"/>
        <v>0</v>
      </c>
      <c r="G390" s="960">
        <f t="shared" si="65"/>
        <v>0</v>
      </c>
      <c r="H390" s="122">
        <f>'Print Return'!L$41</f>
        <v>0</v>
      </c>
      <c r="I390" s="293">
        <f>IF('Overflow (8)'!O48&lt;2015,MIN(G390,H390)/2,MIN(354,H390))</f>
        <v>0</v>
      </c>
      <c r="J390" s="960">
        <f t="shared" si="66"/>
        <v>0</v>
      </c>
      <c r="K390" s="293">
        <f t="shared" si="67"/>
        <v>0</v>
      </c>
      <c r="L390" s="860">
        <f>LOOKUP('Overflow (8)'!$C48,Cities!$A$3:$A$356,Cities!$D$3:$D$356)</f>
        <v>0</v>
      </c>
      <c r="M390" s="861">
        <f t="shared" si="68"/>
        <v>0</v>
      </c>
      <c r="O390" s="271">
        <f>LOOKUP('Overflow (8)'!$C48,Cities!$A$3:$A$356,Cities!$C$3:$C$356)</f>
        <v>0</v>
      </c>
      <c r="P390" s="857">
        <f>IF('Overflow (8)'!O48&lt;2015,'Print Return'!L$45,J390)</f>
        <v>0</v>
      </c>
      <c r="Q390" s="858">
        <f>'Overflow (8)'!$M48</f>
        <v>0</v>
      </c>
      <c r="R390" s="859">
        <f t="shared" si="69"/>
        <v>0</v>
      </c>
      <c r="S390" s="825">
        <f>'Overflow (8)'!G102</f>
        <v>0</v>
      </c>
      <c r="T390" s="826">
        <f t="shared" si="70"/>
        <v>0</v>
      </c>
      <c r="U390" s="860">
        <f>LOOKUP('Overflow (8)'!$C48,Cities!$A$3:$A$356,Cities!$D$3:$D$356)</f>
        <v>0</v>
      </c>
      <c r="V390" s="861">
        <f t="shared" si="71"/>
        <v>0</v>
      </c>
    </row>
    <row r="391" spans="1:22" x14ac:dyDescent="0.2">
      <c r="A391" s="271">
        <f>LOOKUP('Overflow (8)'!$C49,Cities!$A$3:$A$356,Cities!$C$3:$C$356)</f>
        <v>0</v>
      </c>
      <c r="B391" s="959">
        <f>'Print Return'!L$37</f>
        <v>0</v>
      </c>
      <c r="C391" s="858">
        <f>'Overflow (8)'!$M49</f>
        <v>0</v>
      </c>
      <c r="D391" s="859">
        <f t="shared" si="63"/>
        <v>0</v>
      </c>
      <c r="E391" s="825">
        <f>'Overflow (8)'!G103</f>
        <v>0</v>
      </c>
      <c r="F391" s="826">
        <f t="shared" si="64"/>
        <v>0</v>
      </c>
      <c r="G391" s="960">
        <f t="shared" si="65"/>
        <v>0</v>
      </c>
      <c r="H391" s="122">
        <f>'Print Return'!L$41</f>
        <v>0</v>
      </c>
      <c r="I391" s="293">
        <f>IF('Overflow (8)'!O49&lt;2015,MIN(G391,H391)/2,MIN(354,H391))</f>
        <v>0</v>
      </c>
      <c r="J391" s="960">
        <f t="shared" si="66"/>
        <v>0</v>
      </c>
      <c r="K391" s="293">
        <f t="shared" si="67"/>
        <v>0</v>
      </c>
      <c r="L391" s="860">
        <f>LOOKUP('Overflow (8)'!$C49,Cities!$A$3:$A$356,Cities!$D$3:$D$356)</f>
        <v>0</v>
      </c>
      <c r="M391" s="861">
        <f t="shared" si="68"/>
        <v>0</v>
      </c>
      <c r="O391" s="271">
        <f>LOOKUP('Overflow (8)'!$C49,Cities!$A$3:$A$356,Cities!$C$3:$C$356)</f>
        <v>0</v>
      </c>
      <c r="P391" s="857">
        <f>IF('Overflow (8)'!O49&lt;2015,'Print Return'!L$45,J391)</f>
        <v>0</v>
      </c>
      <c r="Q391" s="858">
        <f>'Overflow (8)'!$M49</f>
        <v>0</v>
      </c>
      <c r="R391" s="859">
        <f t="shared" si="69"/>
        <v>0</v>
      </c>
      <c r="S391" s="825">
        <f>'Overflow (8)'!G103</f>
        <v>0</v>
      </c>
      <c r="T391" s="826">
        <f t="shared" si="70"/>
        <v>0</v>
      </c>
      <c r="U391" s="860">
        <f>LOOKUP('Overflow (8)'!$C49,Cities!$A$3:$A$356,Cities!$D$3:$D$356)</f>
        <v>0</v>
      </c>
      <c r="V391" s="861">
        <f t="shared" si="71"/>
        <v>0</v>
      </c>
    </row>
    <row r="392" spans="1:22" x14ac:dyDescent="0.2">
      <c r="A392" s="271">
        <f>LOOKUP('Overflow (8)'!$C50,Cities!$A$3:$A$356,Cities!$C$3:$C$356)</f>
        <v>0</v>
      </c>
      <c r="B392" s="959">
        <f>'Print Return'!L$37</f>
        <v>0</v>
      </c>
      <c r="C392" s="858">
        <f>'Overflow (8)'!$M50</f>
        <v>0</v>
      </c>
      <c r="D392" s="859">
        <f t="shared" si="63"/>
        <v>0</v>
      </c>
      <c r="E392" s="825">
        <f>'Overflow (8)'!G104</f>
        <v>0</v>
      </c>
      <c r="F392" s="826">
        <f t="shared" si="64"/>
        <v>0</v>
      </c>
      <c r="G392" s="960">
        <f t="shared" si="65"/>
        <v>0</v>
      </c>
      <c r="H392" s="122">
        <f>'Print Return'!L$41</f>
        <v>0</v>
      </c>
      <c r="I392" s="293">
        <f>IF('Overflow (8)'!O50&lt;2015,MIN(G392,H392)/2,MIN(354,H392))</f>
        <v>0</v>
      </c>
      <c r="J392" s="960">
        <f t="shared" si="66"/>
        <v>0</v>
      </c>
      <c r="K392" s="293">
        <f t="shared" si="67"/>
        <v>0</v>
      </c>
      <c r="L392" s="860">
        <f>LOOKUP('Overflow (8)'!$C50,Cities!$A$3:$A$356,Cities!$D$3:$D$356)</f>
        <v>0</v>
      </c>
      <c r="M392" s="861">
        <f t="shared" si="68"/>
        <v>0</v>
      </c>
      <c r="O392" s="271">
        <f>LOOKUP('Overflow (8)'!$C50,Cities!$A$3:$A$356,Cities!$C$3:$C$356)</f>
        <v>0</v>
      </c>
      <c r="P392" s="857">
        <f>IF('Overflow (8)'!O50&lt;2015,'Print Return'!L$45,J392)</f>
        <v>0</v>
      </c>
      <c r="Q392" s="858">
        <f>'Overflow (8)'!$M50</f>
        <v>0</v>
      </c>
      <c r="R392" s="859">
        <f t="shared" si="69"/>
        <v>0</v>
      </c>
      <c r="S392" s="825">
        <f>'Overflow (8)'!G104</f>
        <v>0</v>
      </c>
      <c r="T392" s="826">
        <f t="shared" si="70"/>
        <v>0</v>
      </c>
      <c r="U392" s="860">
        <f>LOOKUP('Overflow (8)'!$C50,Cities!$A$3:$A$356,Cities!$D$3:$D$356)</f>
        <v>0</v>
      </c>
      <c r="V392" s="861">
        <f t="shared" si="71"/>
        <v>0</v>
      </c>
    </row>
    <row r="393" spans="1:22" x14ac:dyDescent="0.2">
      <c r="A393" s="271">
        <f>LOOKUP('Overflow (8)'!$C51,Cities!$A$3:$A$356,Cities!$C$3:$C$356)</f>
        <v>0</v>
      </c>
      <c r="B393" s="959">
        <f>'Print Return'!L$37</f>
        <v>0</v>
      </c>
      <c r="C393" s="858">
        <f>'Overflow (8)'!$M51</f>
        <v>0</v>
      </c>
      <c r="D393" s="859">
        <f t="shared" si="63"/>
        <v>0</v>
      </c>
      <c r="E393" s="825">
        <f>'Overflow (8)'!G105</f>
        <v>0</v>
      </c>
      <c r="F393" s="826">
        <f t="shared" si="64"/>
        <v>0</v>
      </c>
      <c r="G393" s="960">
        <f t="shared" si="65"/>
        <v>0</v>
      </c>
      <c r="H393" s="122">
        <f>'Print Return'!L$41</f>
        <v>0</v>
      </c>
      <c r="I393" s="293">
        <f>IF('Overflow (8)'!O51&lt;2015,MIN(G393,H393)/2,MIN(354,H393))</f>
        <v>0</v>
      </c>
      <c r="J393" s="960">
        <f t="shared" si="66"/>
        <v>0</v>
      </c>
      <c r="K393" s="293">
        <f t="shared" si="67"/>
        <v>0</v>
      </c>
      <c r="L393" s="860">
        <f>LOOKUP('Overflow (8)'!$C51,Cities!$A$3:$A$356,Cities!$D$3:$D$356)</f>
        <v>0</v>
      </c>
      <c r="M393" s="861">
        <f t="shared" si="68"/>
        <v>0</v>
      </c>
      <c r="O393" s="271">
        <f>LOOKUP('Overflow (8)'!$C51,Cities!$A$3:$A$356,Cities!$C$3:$C$356)</f>
        <v>0</v>
      </c>
      <c r="P393" s="857">
        <f>IF('Overflow (8)'!O51&lt;2015,'Print Return'!L$45,J393)</f>
        <v>0</v>
      </c>
      <c r="Q393" s="858">
        <f>'Overflow (8)'!$M51</f>
        <v>0</v>
      </c>
      <c r="R393" s="859">
        <f t="shared" si="69"/>
        <v>0</v>
      </c>
      <c r="S393" s="825">
        <f>'Overflow (8)'!G105</f>
        <v>0</v>
      </c>
      <c r="T393" s="826">
        <f t="shared" si="70"/>
        <v>0</v>
      </c>
      <c r="U393" s="860">
        <f>LOOKUP('Overflow (8)'!$C51,Cities!$A$3:$A$356,Cities!$D$3:$D$356)</f>
        <v>0</v>
      </c>
      <c r="V393" s="861">
        <f t="shared" si="71"/>
        <v>0</v>
      </c>
    </row>
    <row r="394" spans="1:22" x14ac:dyDescent="0.2">
      <c r="A394" s="271">
        <f>LOOKUP('Overflow (8)'!$C52,Cities!$A$3:$A$356,Cities!$C$3:$C$356)</f>
        <v>0</v>
      </c>
      <c r="B394" s="959">
        <f>'Print Return'!L$37</f>
        <v>0</v>
      </c>
      <c r="C394" s="858">
        <f>'Overflow (8)'!$M52</f>
        <v>0</v>
      </c>
      <c r="D394" s="859">
        <f t="shared" si="63"/>
        <v>0</v>
      </c>
      <c r="E394" s="825">
        <f>'Overflow (8)'!G106</f>
        <v>0</v>
      </c>
      <c r="F394" s="826">
        <f t="shared" si="64"/>
        <v>0</v>
      </c>
      <c r="G394" s="960">
        <f t="shared" si="65"/>
        <v>0</v>
      </c>
      <c r="H394" s="122">
        <f>'Print Return'!L$41</f>
        <v>0</v>
      </c>
      <c r="I394" s="293">
        <f>IF('Overflow (8)'!O52&lt;2015,MIN(G394,H394)/2,MIN(354,H394))</f>
        <v>0</v>
      </c>
      <c r="J394" s="960">
        <f t="shared" si="66"/>
        <v>0</v>
      </c>
      <c r="K394" s="293">
        <f t="shared" si="67"/>
        <v>0</v>
      </c>
      <c r="L394" s="860">
        <f>LOOKUP('Overflow (8)'!$C52,Cities!$A$3:$A$356,Cities!$D$3:$D$356)</f>
        <v>0</v>
      </c>
      <c r="M394" s="861">
        <f t="shared" si="68"/>
        <v>0</v>
      </c>
      <c r="O394" s="271">
        <f>LOOKUP('Overflow (8)'!$C52,Cities!$A$3:$A$356,Cities!$C$3:$C$356)</f>
        <v>0</v>
      </c>
      <c r="P394" s="857">
        <f>IF('Overflow (8)'!O52&lt;2015,'Print Return'!L$45,J394)</f>
        <v>0</v>
      </c>
      <c r="Q394" s="858">
        <f>'Overflow (8)'!$M52</f>
        <v>0</v>
      </c>
      <c r="R394" s="859">
        <f t="shared" si="69"/>
        <v>0</v>
      </c>
      <c r="S394" s="825">
        <f>'Overflow (8)'!G106</f>
        <v>0</v>
      </c>
      <c r="T394" s="826">
        <f t="shared" si="70"/>
        <v>0</v>
      </c>
      <c r="U394" s="860">
        <f>LOOKUP('Overflow (8)'!$C52,Cities!$A$3:$A$356,Cities!$D$3:$D$356)</f>
        <v>0</v>
      </c>
      <c r="V394" s="861">
        <f t="shared" si="71"/>
        <v>0</v>
      </c>
    </row>
    <row r="395" spans="1:22" x14ac:dyDescent="0.2">
      <c r="A395" s="271">
        <f>LOOKUP('Overflow (8)'!$C53,Cities!$A$3:$A$356,Cities!$C$3:$C$356)</f>
        <v>0</v>
      </c>
      <c r="B395" s="959">
        <f>'Print Return'!L$37</f>
        <v>0</v>
      </c>
      <c r="C395" s="858">
        <f>'Overflow (8)'!$M53</f>
        <v>0</v>
      </c>
      <c r="D395" s="859">
        <f t="shared" si="63"/>
        <v>0</v>
      </c>
      <c r="E395" s="825">
        <f>'Overflow (8)'!G107</f>
        <v>0</v>
      </c>
      <c r="F395" s="826">
        <f t="shared" si="64"/>
        <v>0</v>
      </c>
      <c r="G395" s="960">
        <f t="shared" si="65"/>
        <v>0</v>
      </c>
      <c r="H395" s="122">
        <f>'Print Return'!L$41</f>
        <v>0</v>
      </c>
      <c r="I395" s="293">
        <f>IF('Overflow (8)'!O53&lt;2015,MIN(G395,H395)/2,MIN(354,H395))</f>
        <v>0</v>
      </c>
      <c r="J395" s="960">
        <f t="shared" si="66"/>
        <v>0</v>
      </c>
      <c r="K395" s="293">
        <f t="shared" si="67"/>
        <v>0</v>
      </c>
      <c r="L395" s="860">
        <f>LOOKUP('Overflow (8)'!$C53,Cities!$A$3:$A$356,Cities!$D$3:$D$356)</f>
        <v>0</v>
      </c>
      <c r="M395" s="861">
        <f t="shared" si="68"/>
        <v>0</v>
      </c>
      <c r="O395" s="271">
        <f>LOOKUP('Overflow (8)'!$C53,Cities!$A$3:$A$356,Cities!$C$3:$C$356)</f>
        <v>0</v>
      </c>
      <c r="P395" s="857">
        <f>IF('Overflow (8)'!O53&lt;2015,'Print Return'!L$45,J395)</f>
        <v>0</v>
      </c>
      <c r="Q395" s="858">
        <f>'Overflow (8)'!$M53</f>
        <v>0</v>
      </c>
      <c r="R395" s="859">
        <f t="shared" si="69"/>
        <v>0</v>
      </c>
      <c r="S395" s="825">
        <f>'Overflow (8)'!G107</f>
        <v>0</v>
      </c>
      <c r="T395" s="826">
        <f t="shared" si="70"/>
        <v>0</v>
      </c>
      <c r="U395" s="860">
        <f>LOOKUP('Overflow (8)'!$C53,Cities!$A$3:$A$356,Cities!$D$3:$D$356)</f>
        <v>0</v>
      </c>
      <c r="V395" s="861">
        <f t="shared" si="71"/>
        <v>0</v>
      </c>
    </row>
    <row r="396" spans="1:22" x14ac:dyDescent="0.2">
      <c r="A396" s="271">
        <f>LOOKUP('Overflow (8)'!$C54,Cities!$A$3:$A$356,Cities!$C$3:$C$356)</f>
        <v>0</v>
      </c>
      <c r="B396" s="959">
        <f>'Print Return'!L$37</f>
        <v>0</v>
      </c>
      <c r="C396" s="858">
        <f>'Overflow (8)'!$M54</f>
        <v>0</v>
      </c>
      <c r="D396" s="859">
        <f t="shared" si="63"/>
        <v>0</v>
      </c>
      <c r="E396" s="825">
        <f>'Overflow (8)'!G108</f>
        <v>0</v>
      </c>
      <c r="F396" s="826">
        <f t="shared" si="64"/>
        <v>0</v>
      </c>
      <c r="G396" s="960">
        <f t="shared" si="65"/>
        <v>0</v>
      </c>
      <c r="H396" s="122">
        <f>'Print Return'!L$41</f>
        <v>0</v>
      </c>
      <c r="I396" s="293">
        <f>IF('Overflow (8)'!O54&lt;2015,MIN(G396,H396)/2,MIN(354,H396))</f>
        <v>0</v>
      </c>
      <c r="J396" s="960">
        <f t="shared" si="66"/>
        <v>0</v>
      </c>
      <c r="K396" s="293">
        <f t="shared" si="67"/>
        <v>0</v>
      </c>
      <c r="L396" s="860">
        <f>LOOKUP('Overflow (8)'!$C54,Cities!$A$3:$A$356,Cities!$D$3:$D$356)</f>
        <v>0</v>
      </c>
      <c r="M396" s="861">
        <f t="shared" si="68"/>
        <v>0</v>
      </c>
      <c r="O396" s="271">
        <f>LOOKUP('Overflow (8)'!$C54,Cities!$A$3:$A$356,Cities!$C$3:$C$356)</f>
        <v>0</v>
      </c>
      <c r="P396" s="857">
        <f>IF('Overflow (8)'!O54&lt;2015,'Print Return'!L$45,J396)</f>
        <v>0</v>
      </c>
      <c r="Q396" s="858">
        <f>'Overflow (8)'!$M54</f>
        <v>0</v>
      </c>
      <c r="R396" s="859">
        <f t="shared" si="69"/>
        <v>0</v>
      </c>
      <c r="S396" s="825">
        <f>'Overflow (8)'!G108</f>
        <v>0</v>
      </c>
      <c r="T396" s="826">
        <f t="shared" si="70"/>
        <v>0</v>
      </c>
      <c r="U396" s="860">
        <f>LOOKUP('Overflow (8)'!$C54,Cities!$A$3:$A$356,Cities!$D$3:$D$356)</f>
        <v>0</v>
      </c>
      <c r="V396" s="861">
        <f t="shared" si="71"/>
        <v>0</v>
      </c>
    </row>
    <row r="397" spans="1:22" x14ac:dyDescent="0.2">
      <c r="A397" s="271">
        <f>LOOKUP('Overflow (8)'!$C55,Cities!$A$3:$A$356,Cities!$C$3:$C$356)</f>
        <v>0</v>
      </c>
      <c r="B397" s="959">
        <f>'Print Return'!L$37</f>
        <v>0</v>
      </c>
      <c r="C397" s="858">
        <f>'Overflow (8)'!$M55</f>
        <v>0</v>
      </c>
      <c r="D397" s="859">
        <f t="shared" si="63"/>
        <v>0</v>
      </c>
      <c r="E397" s="825">
        <f>'Overflow (8)'!G109</f>
        <v>0</v>
      </c>
      <c r="F397" s="826">
        <f t="shared" si="64"/>
        <v>0</v>
      </c>
      <c r="G397" s="960">
        <f t="shared" si="65"/>
        <v>0</v>
      </c>
      <c r="H397" s="122">
        <f>'Print Return'!L$41</f>
        <v>0</v>
      </c>
      <c r="I397" s="293">
        <f>IF('Overflow (8)'!O55&lt;2015,MIN(G397,H397)/2,MIN(354,H397))</f>
        <v>0</v>
      </c>
      <c r="J397" s="960">
        <f t="shared" si="66"/>
        <v>0</v>
      </c>
      <c r="K397" s="293">
        <f t="shared" si="67"/>
        <v>0</v>
      </c>
      <c r="L397" s="860">
        <f>LOOKUP('Overflow (8)'!$C55,Cities!$A$3:$A$356,Cities!$D$3:$D$356)</f>
        <v>0</v>
      </c>
      <c r="M397" s="861">
        <f t="shared" si="68"/>
        <v>0</v>
      </c>
      <c r="O397" s="271">
        <f>LOOKUP('Overflow (8)'!$C55,Cities!$A$3:$A$356,Cities!$C$3:$C$356)</f>
        <v>0</v>
      </c>
      <c r="P397" s="857">
        <f>IF('Overflow (8)'!O55&lt;2015,'Print Return'!L$45,J397)</f>
        <v>0</v>
      </c>
      <c r="Q397" s="858">
        <f>'Overflow (8)'!$M55</f>
        <v>0</v>
      </c>
      <c r="R397" s="859">
        <f t="shared" si="69"/>
        <v>0</v>
      </c>
      <c r="S397" s="825">
        <f>'Overflow (8)'!G109</f>
        <v>0</v>
      </c>
      <c r="T397" s="826">
        <f t="shared" si="70"/>
        <v>0</v>
      </c>
      <c r="U397" s="860">
        <f>LOOKUP('Overflow (8)'!$C55,Cities!$A$3:$A$356,Cities!$D$3:$D$356)</f>
        <v>0</v>
      </c>
      <c r="V397" s="861">
        <f t="shared" si="71"/>
        <v>0</v>
      </c>
    </row>
    <row r="398" spans="1:22" x14ac:dyDescent="0.2">
      <c r="A398" s="271">
        <f>LOOKUP('Overflow (8)'!$C56,Cities!$A$3:$A$356,Cities!$C$3:$C$356)</f>
        <v>0</v>
      </c>
      <c r="B398" s="959">
        <f>'Print Return'!L$37</f>
        <v>0</v>
      </c>
      <c r="C398" s="858">
        <f>'Overflow (8)'!$M56</f>
        <v>0</v>
      </c>
      <c r="D398" s="859">
        <f t="shared" si="63"/>
        <v>0</v>
      </c>
      <c r="E398" s="825">
        <f>'Overflow (8)'!G110</f>
        <v>0</v>
      </c>
      <c r="F398" s="826">
        <f t="shared" si="64"/>
        <v>0</v>
      </c>
      <c r="G398" s="960">
        <f t="shared" si="65"/>
        <v>0</v>
      </c>
      <c r="H398" s="122">
        <f>'Print Return'!L$41</f>
        <v>0</v>
      </c>
      <c r="I398" s="293">
        <f>IF('Overflow (8)'!O56&lt;2015,MIN(G398,H398)/2,MIN(354,H398))</f>
        <v>0</v>
      </c>
      <c r="J398" s="960">
        <f t="shared" si="66"/>
        <v>0</v>
      </c>
      <c r="K398" s="293">
        <f t="shared" si="67"/>
        <v>0</v>
      </c>
      <c r="L398" s="860">
        <f>LOOKUP('Overflow (8)'!$C56,Cities!$A$3:$A$356,Cities!$D$3:$D$356)</f>
        <v>0</v>
      </c>
      <c r="M398" s="861">
        <f t="shared" si="68"/>
        <v>0</v>
      </c>
      <c r="O398" s="271">
        <f>LOOKUP('Overflow (8)'!$C56,Cities!$A$3:$A$356,Cities!$C$3:$C$356)</f>
        <v>0</v>
      </c>
      <c r="P398" s="857">
        <f>IF('Overflow (8)'!O56&lt;2015,'Print Return'!L$45,J398)</f>
        <v>0</v>
      </c>
      <c r="Q398" s="858">
        <f>'Overflow (8)'!$M56</f>
        <v>0</v>
      </c>
      <c r="R398" s="859">
        <f t="shared" si="69"/>
        <v>0</v>
      </c>
      <c r="S398" s="825">
        <f>'Overflow (8)'!G110</f>
        <v>0</v>
      </c>
      <c r="T398" s="826">
        <f t="shared" si="70"/>
        <v>0</v>
      </c>
      <c r="U398" s="860">
        <f>LOOKUP('Overflow (8)'!$C56,Cities!$A$3:$A$356,Cities!$D$3:$D$356)</f>
        <v>0</v>
      </c>
      <c r="V398" s="861">
        <f t="shared" si="71"/>
        <v>0</v>
      </c>
    </row>
    <row r="399" spans="1:22" x14ac:dyDescent="0.2">
      <c r="A399" s="306"/>
      <c r="B399" s="16"/>
      <c r="C399" s="16"/>
      <c r="D399" s="16"/>
      <c r="E399" s="16"/>
      <c r="F399" s="16"/>
      <c r="G399" s="16"/>
      <c r="H399" s="16"/>
      <c r="I399" s="16"/>
      <c r="J399" s="16"/>
      <c r="K399" s="16"/>
      <c r="L399" s="16"/>
      <c r="M399" s="264"/>
      <c r="O399" s="306"/>
      <c r="P399" s="16"/>
      <c r="Q399" s="16"/>
      <c r="R399" s="16"/>
      <c r="S399" s="16"/>
      <c r="T399" s="16"/>
      <c r="U399" s="16"/>
      <c r="V399" s="264"/>
    </row>
    <row r="400" spans="1:22" ht="13.5" thickBot="1" x14ac:dyDescent="0.25">
      <c r="A400" s="267" t="s">
        <v>1792</v>
      </c>
      <c r="B400" s="862"/>
      <c r="C400" s="920">
        <f>SUM(C354:C398)</f>
        <v>0</v>
      </c>
      <c r="D400" s="862"/>
      <c r="E400" s="863">
        <f>SUM(E354:E398)</f>
        <v>0</v>
      </c>
      <c r="F400" s="862"/>
      <c r="G400" s="862"/>
      <c r="H400" s="963" t="s">
        <v>1793</v>
      </c>
      <c r="I400" s="962">
        <f>SUM(J4:J48,J54:J98,J104:J148,J154:J198,J204:J248,J254:J298,J304:J348,J354:J398)</f>
        <v>0</v>
      </c>
      <c r="J400" s="961">
        <f>MAX(J4:J48,J54:J98,J104:J148,J154:J198,J204:J248,J254:J298,J304:J348,J354:J398)</f>
        <v>0</v>
      </c>
      <c r="K400" s="865">
        <f>SUM(K354:K398)</f>
        <v>0</v>
      </c>
      <c r="L400" s="862"/>
      <c r="M400" s="864">
        <f>ROUND(SUMIF(M354:M398,"&gt;10"),0)</f>
        <v>0</v>
      </c>
      <c r="N400" s="1"/>
      <c r="O400" s="267"/>
      <c r="P400" s="862"/>
      <c r="Q400" s="892">
        <f>SUM(Q354:Q398)</f>
        <v>0</v>
      </c>
      <c r="R400" s="862"/>
      <c r="S400" s="863">
        <f>SUM(S354:S398)</f>
        <v>0</v>
      </c>
      <c r="T400" s="865">
        <f>SUM(T354:T398)</f>
        <v>0</v>
      </c>
      <c r="U400" s="862"/>
      <c r="V400" s="864">
        <f>ROUND(SUMIF(V354:V398,"&gt; 10"),0)</f>
        <v>0</v>
      </c>
    </row>
  </sheetData>
  <sheetProtection algorithmName="SHA-512" hashValue="muUePSOzwq9RdkQ6iKp7UIf/xrpDLxCI5h9nRSSgY8l/DfkVt+acrG9VEvg+uWR2fzmDKpMeZr8D36Wbrslw/w==" saltValue="UbFs6HwI0rAVyPImHvQuRA==" spinCount="100000" sheet="1" objects="1" scenarios="1"/>
  <mergeCells count="168">
    <mergeCell ref="T2:T3"/>
    <mergeCell ref="U2:U3"/>
    <mergeCell ref="V2:V3"/>
    <mergeCell ref="P2:P3"/>
    <mergeCell ref="Q2:Q3"/>
    <mergeCell ref="R2:R3"/>
    <mergeCell ref="S2:S3"/>
    <mergeCell ref="A52:A53"/>
    <mergeCell ref="B52:B53"/>
    <mergeCell ref="C52:C53"/>
    <mergeCell ref="D52:D53"/>
    <mergeCell ref="E52:E53"/>
    <mergeCell ref="F52:F53"/>
    <mergeCell ref="G52:G53"/>
    <mergeCell ref="M2:M3"/>
    <mergeCell ref="O2:O3"/>
    <mergeCell ref="G2:G3"/>
    <mergeCell ref="H2:H3"/>
    <mergeCell ref="I2:I3"/>
    <mergeCell ref="J2:J3"/>
    <mergeCell ref="K2:K3"/>
    <mergeCell ref="L2:L3"/>
    <mergeCell ref="A2:A3"/>
    <mergeCell ref="B2:B3"/>
    <mergeCell ref="C2:C3"/>
    <mergeCell ref="D2:D3"/>
    <mergeCell ref="E2:E3"/>
    <mergeCell ref="F2:F3"/>
    <mergeCell ref="K52:K53"/>
    <mergeCell ref="L52:L53"/>
    <mergeCell ref="M52:M53"/>
    <mergeCell ref="J102:J103"/>
    <mergeCell ref="K102:K103"/>
    <mergeCell ref="L102:L103"/>
    <mergeCell ref="M102:M103"/>
    <mergeCell ref="O102:O103"/>
    <mergeCell ref="U52:U53"/>
    <mergeCell ref="V52:V53"/>
    <mergeCell ref="A102:A103"/>
    <mergeCell ref="B102:B103"/>
    <mergeCell ref="C102:C103"/>
    <mergeCell ref="D102:D103"/>
    <mergeCell ref="E102:E103"/>
    <mergeCell ref="F102:F103"/>
    <mergeCell ref="G102:G103"/>
    <mergeCell ref="H102:H103"/>
    <mergeCell ref="O52:O53"/>
    <mergeCell ref="P52:P53"/>
    <mergeCell ref="Q52:Q53"/>
    <mergeCell ref="R52:R53"/>
    <mergeCell ref="S52:S53"/>
    <mergeCell ref="T52:T53"/>
    <mergeCell ref="H52:H53"/>
    <mergeCell ref="I52:I53"/>
    <mergeCell ref="J52:J53"/>
    <mergeCell ref="V152:V153"/>
    <mergeCell ref="J152:J153"/>
    <mergeCell ref="K152:K153"/>
    <mergeCell ref="L152:L153"/>
    <mergeCell ref="M152:M153"/>
    <mergeCell ref="O152:O153"/>
    <mergeCell ref="P152:P153"/>
    <mergeCell ref="V102:V103"/>
    <mergeCell ref="A152:A153"/>
    <mergeCell ref="B152:B153"/>
    <mergeCell ref="C152:C153"/>
    <mergeCell ref="D152:D153"/>
    <mergeCell ref="E152:E153"/>
    <mergeCell ref="F152:F153"/>
    <mergeCell ref="G152:G153"/>
    <mergeCell ref="H152:H153"/>
    <mergeCell ref="I152:I153"/>
    <mergeCell ref="P102:P103"/>
    <mergeCell ref="Q102:Q103"/>
    <mergeCell ref="R102:R103"/>
    <mergeCell ref="S102:S103"/>
    <mergeCell ref="T102:T103"/>
    <mergeCell ref="U102:U103"/>
    <mergeCell ref="I102:I103"/>
    <mergeCell ref="C202:C203"/>
    <mergeCell ref="D202:D203"/>
    <mergeCell ref="E202:E203"/>
    <mergeCell ref="F202:F203"/>
    <mergeCell ref="Q152:Q153"/>
    <mergeCell ref="R152:R153"/>
    <mergeCell ref="S152:S153"/>
    <mergeCell ref="T152:T153"/>
    <mergeCell ref="U152:U153"/>
    <mergeCell ref="T202:T203"/>
    <mergeCell ref="U202:U203"/>
    <mergeCell ref="V202:V203"/>
    <mergeCell ref="A252:A253"/>
    <mergeCell ref="B252:B253"/>
    <mergeCell ref="C252:C253"/>
    <mergeCell ref="D252:D253"/>
    <mergeCell ref="E252:E253"/>
    <mergeCell ref="F252:F253"/>
    <mergeCell ref="G252:G253"/>
    <mergeCell ref="M202:M203"/>
    <mergeCell ref="O202:O203"/>
    <mergeCell ref="P202:P203"/>
    <mergeCell ref="Q202:Q203"/>
    <mergeCell ref="R202:R203"/>
    <mergeCell ref="S202:S203"/>
    <mergeCell ref="G202:G203"/>
    <mergeCell ref="H202:H203"/>
    <mergeCell ref="I202:I203"/>
    <mergeCell ref="J202:J203"/>
    <mergeCell ref="K202:K203"/>
    <mergeCell ref="L202:L203"/>
    <mergeCell ref="A202:A203"/>
    <mergeCell ref="B202:B203"/>
    <mergeCell ref="U252:U253"/>
    <mergeCell ref="V252:V253"/>
    <mergeCell ref="A302:A303"/>
    <mergeCell ref="B302:B303"/>
    <mergeCell ref="C302:C303"/>
    <mergeCell ref="D302:D303"/>
    <mergeCell ref="E302:E303"/>
    <mergeCell ref="F302:F303"/>
    <mergeCell ref="G302:G303"/>
    <mergeCell ref="H302:H303"/>
    <mergeCell ref="O252:O253"/>
    <mergeCell ref="P252:P253"/>
    <mergeCell ref="Q252:Q253"/>
    <mergeCell ref="R252:R253"/>
    <mergeCell ref="S252:S253"/>
    <mergeCell ref="T252:T253"/>
    <mergeCell ref="H252:H253"/>
    <mergeCell ref="I252:I253"/>
    <mergeCell ref="J252:J253"/>
    <mergeCell ref="K252:K253"/>
    <mergeCell ref="L252:L253"/>
    <mergeCell ref="M252:M253"/>
    <mergeCell ref="V302:V303"/>
    <mergeCell ref="A352:A353"/>
    <mergeCell ref="B352:B353"/>
    <mergeCell ref="C352:C353"/>
    <mergeCell ref="D352:D353"/>
    <mergeCell ref="E352:E353"/>
    <mergeCell ref="F352:F353"/>
    <mergeCell ref="G352:G353"/>
    <mergeCell ref="H352:H353"/>
    <mergeCell ref="I352:I353"/>
    <mergeCell ref="P302:P303"/>
    <mergeCell ref="Q302:Q303"/>
    <mergeCell ref="R302:R303"/>
    <mergeCell ref="S302:S303"/>
    <mergeCell ref="T302:T303"/>
    <mergeCell ref="U302:U303"/>
    <mergeCell ref="I302:I303"/>
    <mergeCell ref="J302:J303"/>
    <mergeCell ref="K302:K303"/>
    <mergeCell ref="L302:L303"/>
    <mergeCell ref="M302:M303"/>
    <mergeCell ref="O302:O303"/>
    <mergeCell ref="Q352:Q353"/>
    <mergeCell ref="R352:R353"/>
    <mergeCell ref="S352:S353"/>
    <mergeCell ref="T352:T353"/>
    <mergeCell ref="U352:U353"/>
    <mergeCell ref="V352:V353"/>
    <mergeCell ref="J352:J353"/>
    <mergeCell ref="K352:K353"/>
    <mergeCell ref="L352:L353"/>
    <mergeCell ref="M352:M353"/>
    <mergeCell ref="O352:O353"/>
    <mergeCell ref="P352:P353"/>
  </mergeCells>
  <pageMargins left="0.7" right="0.7" top="0.75" bottom="0.75" header="0.3" footer="0.3"/>
  <pageSetup scale="75"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2"/>
  <dimension ref="A1:N43"/>
  <sheetViews>
    <sheetView workbookViewId="0">
      <selection activeCell="N8" sqref="N8"/>
    </sheetView>
  </sheetViews>
  <sheetFormatPr defaultRowHeight="11.25" customHeight="1" x14ac:dyDescent="0.2"/>
  <cols>
    <col min="1" max="1" width="3.28515625" customWidth="1"/>
    <col min="2" max="2" width="22.28515625" customWidth="1"/>
    <col min="14" max="14" width="72.5703125" customWidth="1"/>
  </cols>
  <sheetData>
    <row r="1" spans="1:14" ht="11.25" customHeight="1" x14ac:dyDescent="0.25">
      <c r="A1" s="435"/>
      <c r="B1" s="368"/>
      <c r="C1" s="436" t="s">
        <v>785</v>
      </c>
      <c r="D1" s="436"/>
    </row>
    <row r="2" spans="1:14" ht="11.25" customHeight="1" x14ac:dyDescent="0.25">
      <c r="A2" s="435"/>
      <c r="B2" s="364" t="s">
        <v>548</v>
      </c>
      <c r="C2" s="364" t="s">
        <v>786</v>
      </c>
      <c r="D2" s="364" t="s">
        <v>1195</v>
      </c>
    </row>
    <row r="3" spans="1:14" ht="11.25" customHeight="1" x14ac:dyDescent="0.25">
      <c r="A3" s="435"/>
      <c r="B3" s="465">
        <f>'Complete This Page'!$G$11</f>
        <v>2018</v>
      </c>
      <c r="C3" s="437">
        <f>IF(ISBLANK('Complete This Page'!$H$11),DATE(B3,1,1),'Complete This Page'!$H$11)</f>
        <v>43101</v>
      </c>
      <c r="D3" s="437">
        <f>IF(ISBLANK('Complete This Page'!$J$11),DATE(B3,12,31),'Complete This Page'!$J$11)</f>
        <v>43465</v>
      </c>
    </row>
    <row r="4" spans="1:14" ht="11.25" customHeight="1" thickBot="1" x14ac:dyDescent="0.3">
      <c r="A4" s="435"/>
    </row>
    <row r="5" spans="1:14" s="4" customFormat="1" ht="11.25" customHeight="1" x14ac:dyDescent="0.2">
      <c r="A5" s="483"/>
      <c r="B5" s="1574"/>
      <c r="C5" s="1575"/>
      <c r="D5" s="480" t="s">
        <v>790</v>
      </c>
      <c r="E5" s="472"/>
      <c r="F5" s="472"/>
      <c r="G5" s="472"/>
      <c r="H5" s="473"/>
      <c r="I5" s="472" t="s">
        <v>791</v>
      </c>
      <c r="J5" s="472"/>
      <c r="K5" s="472"/>
      <c r="L5" s="472"/>
      <c r="M5" s="473"/>
      <c r="N5" s="486"/>
    </row>
    <row r="6" spans="1:14" s="368" customFormat="1" ht="11.25" customHeight="1" x14ac:dyDescent="0.2">
      <c r="A6" s="484"/>
      <c r="B6" s="488" t="s">
        <v>491</v>
      </c>
      <c r="C6" s="489" t="s">
        <v>257</v>
      </c>
      <c r="D6" s="481" t="s">
        <v>792</v>
      </c>
      <c r="E6" s="466" t="s">
        <v>788</v>
      </c>
      <c r="F6" s="466" t="s">
        <v>561</v>
      </c>
      <c r="G6" s="466" t="s">
        <v>154</v>
      </c>
      <c r="H6" s="474" t="s">
        <v>789</v>
      </c>
      <c r="I6" s="468" t="s">
        <v>792</v>
      </c>
      <c r="J6" s="466" t="s">
        <v>788</v>
      </c>
      <c r="K6" s="466" t="s">
        <v>561</v>
      </c>
      <c r="L6" s="466" t="s">
        <v>154</v>
      </c>
      <c r="M6" s="474" t="s">
        <v>789</v>
      </c>
      <c r="N6" s="487" t="s">
        <v>787</v>
      </c>
    </row>
    <row r="7" spans="1:14" s="1" customFormat="1" ht="11.25" customHeight="1" x14ac:dyDescent="0.2">
      <c r="A7" s="485"/>
      <c r="B7" s="470">
        <f>'Complete This Page'!$B$16</f>
        <v>0</v>
      </c>
      <c r="C7" s="471">
        <f>IF(LEN(B7)&lt;=2,1,INDEX('Tax Rates'!$A$3:$A$356,MATCH(B7,'Tax Rates'!$C$3:$C$356,0),1))</f>
        <v>1</v>
      </c>
      <c r="D7" s="482">
        <f>IF($C$3&lt;$H15,IF($C$3&lt;$E15,IF($C$3&lt;$C15,0,IF($C$3&lt;$D15,1,2)),IF($C$3&lt;$F15,3,IF($C$3&lt;$G15,4,5))),IF($C$3&lt;$K15,IF($C$3&lt;$I15,6,IF($C$3&lt;$J15,7,8)),IF($C$3&lt;$L15,9,10)))</f>
        <v>0</v>
      </c>
      <c r="E7" s="467">
        <f>IF(D7=0,0,IF(INDEX(C15:L15,1,D7+1)&gt;$D$3,$D$3-$C$3+1,INDEX(C15:L15,1,D7+1)-$C$3))</f>
        <v>0</v>
      </c>
      <c r="F7" s="467">
        <f>IF(D7=0,0,INDEX(C23:L23,1,D7))</f>
        <v>0</v>
      </c>
      <c r="G7" s="467">
        <f>IF(D7=0,0,INDEX(C31:L31,1,D7))</f>
        <v>0</v>
      </c>
      <c r="H7" s="475">
        <f>IF(D7=0,0,INDEX(C39:L39,1,D7))</f>
        <v>0</v>
      </c>
      <c r="I7" s="469">
        <f>IF($D$3&lt;$H15,IF($D$3&lt;$E15,IF($D$3&lt;$C15,0,IF($D$3&lt;$D15,1,2)),IF($D$3&lt;$F15,3,IF($D$3&lt;$G15,4,5))),IF($D$3&lt;$K15,IF($D$3&lt;$I15,6,IF($D$3&lt;$J15,7,8)),IF($D$3&lt;$L15,9,10)))</f>
        <v>0</v>
      </c>
      <c r="J7" s="467">
        <f>IF(I7=0,0,IF(INDEX(C15:L15,1,I7)&gt;$C$3,$D$3-INDEX(C15:L15,1,I7)+1,$D$3-$C$3+1))</f>
        <v>0</v>
      </c>
      <c r="K7" s="467">
        <f>IF(I7=0,0,INDEX(C23:L23,1,I7))</f>
        <v>0</v>
      </c>
      <c r="L7" s="467">
        <f>IF(I7=0,0,INDEX(C31:L31,1,I7))</f>
        <v>0</v>
      </c>
      <c r="M7" s="475">
        <f>IF(I7=0,0,INDEX(C39:L39,1,I7))</f>
        <v>0</v>
      </c>
      <c r="N7" s="491" t="str">
        <f>IF(ISNA(C7),"Please select a valid RITA city name from the drop down",IF(AND(D7=0,C7&gt;1),CONCATENATE("You cannot use this Excel based form for ", B7, " because tax rates for this city are available starting from ", TEXT(C15,"mm/dd/yyyy")),IF(D7&lt;&gt;I7,CONCATENATE("You cannot use this Excel based form for ", B7, " due to tax rate change during business's fiscal year effective on ", TEXT(INDEX(C15:L15,1,I7),"mm/dd/yyyy")),"")))</f>
        <v/>
      </c>
    </row>
    <row r="8" spans="1:14" s="1" customFormat="1" ht="11.25" customHeight="1" x14ac:dyDescent="0.2">
      <c r="A8" s="485"/>
      <c r="B8" s="470">
        <f>'Complete This Page'!$B$17</f>
        <v>0</v>
      </c>
      <c r="C8" s="471">
        <f>IF(LEN(B8)&lt;=2,1,INDEX('Tax Rates'!$A$3:$A$356,MATCH(B8,'Tax Rates'!$C$3:$C$356,0),1))</f>
        <v>1</v>
      </c>
      <c r="D8" s="482">
        <f>IF($C$3&lt;$H16,IF($C$3&lt;$E16,IF($C$3&lt;$C16,0,IF($C$3&lt;$D16,1,2)),IF($C$3&lt;$F16,3,IF($C$3&lt;$G16,4,5))),IF($C$3&lt;$K16,IF($C$3&lt;$I16,6,IF($C$3&lt;$J16,7,8)),IF($C$3&lt;$L16,9,10)))</f>
        <v>0</v>
      </c>
      <c r="E8" s="467">
        <f>IF(D8=0,0,IF(INDEX(C16:L16,1,D8+1)&gt;$D$3,$D$3-$C$3+1,INDEX(C16:L16,1,D8+1)-$C$3))</f>
        <v>0</v>
      </c>
      <c r="F8" s="467">
        <f>IF(D8=0,0,INDEX(C24:L24,1,D8))</f>
        <v>0</v>
      </c>
      <c r="G8" s="467">
        <f>IF(D8=0,0,INDEX(C32:L32,1,D8))</f>
        <v>0</v>
      </c>
      <c r="H8" s="475">
        <f>IF(D8=0,0,INDEX(C40:L40,1,D8))</f>
        <v>0</v>
      </c>
      <c r="I8" s="469">
        <f>IF($D$3&lt;$H16,IF($D$3&lt;$E16,IF($D$3&lt;$C16,0,IF($D$3&lt;$D16,1,2)),IF($D$3&lt;$F16,3,IF($D$3&lt;$G16,4,5))),IF($D$3&lt;$K16,IF($D$3&lt;$I16,6,IF($D$3&lt;$J16,7,8)),IF($D$3&lt;$L16,9,10)))</f>
        <v>0</v>
      </c>
      <c r="J8" s="467">
        <f>IF(I8=0,0,IF(INDEX(C16:L16,1,I8)&gt;$C$3,$D$3-INDEX(C16:L16,1,I8)+1,$D$3-$C$3+1))</f>
        <v>0</v>
      </c>
      <c r="K8" s="467">
        <f>IF(I8=0,0,INDEX(C24:L24,1,I8))</f>
        <v>0</v>
      </c>
      <c r="L8" s="467">
        <f>IF(I8=0,0,INDEX(C32:L32,1,I8))</f>
        <v>0</v>
      </c>
      <c r="M8" s="475">
        <f>IF(I8=0,0,INDEX(C40:L40,1,I8))</f>
        <v>0</v>
      </c>
      <c r="N8" s="491" t="str">
        <f>IF(ISNA(C8),"Please select a valid RITA city name from the drop down",IF(AND(D8=0,C8&gt;1),CONCATENATE("You cannot use this Excel based form for ", B8, " because tax rates for this city are available starting from ", TEXT(C16,"mm/dd/yyyy")),IF(D8&lt;&gt;I8,CONCATENATE("You cannot use this Excel based form for ", B8, " due to tax rate change during business's fiscal year effective on ", TEXT(INDEX(C16:L16,1,I8),"mm/dd/yyyy")),"")))</f>
        <v/>
      </c>
    </row>
    <row r="9" spans="1:14" s="1" customFormat="1" ht="11.25" customHeight="1" x14ac:dyDescent="0.2">
      <c r="A9" s="485"/>
      <c r="B9" s="470">
        <f>'Complete This Page'!$B$18</f>
        <v>0</v>
      </c>
      <c r="C9" s="471">
        <f>IF(LEN(B9)&lt;=2,1,INDEX('Tax Rates'!$A$3:$A$356,MATCH(B9,'Tax Rates'!$C$3:$C$356,0),1))</f>
        <v>1</v>
      </c>
      <c r="D9" s="482">
        <f>IF($C$3&lt;$H17,IF($C$3&lt;$E17,IF($C$3&lt;$C17,0,IF($C$3&lt;$D17,1,2)),IF($C$3&lt;$F17,3,IF($C$3&lt;$G17,4,5))),IF($C$3&lt;$K17,IF($C$3&lt;$I17,6,IF($C$3&lt;$J17,7,8)),IF($C$3&lt;$L17,9,10)))</f>
        <v>0</v>
      </c>
      <c r="E9" s="467">
        <f>IF(D9=0,0,IF(INDEX(C17:L17,1,D9+1)&gt;$D$3,$D$3-$C$3+1,INDEX(C17:L17,1,D9+1)-$C$3))</f>
        <v>0</v>
      </c>
      <c r="F9" s="467">
        <f>IF(D9=0,0,INDEX(C25:L25,1,D9))</f>
        <v>0</v>
      </c>
      <c r="G9" s="467">
        <f>IF(D9=0,0,INDEX(C33:L33,1,D9))</f>
        <v>0</v>
      </c>
      <c r="H9" s="475">
        <f>IF(D9=0,0,INDEX(C41:L41,1,D9))</f>
        <v>0</v>
      </c>
      <c r="I9" s="469">
        <f>IF($D$3&lt;$H17,IF($D$3&lt;$E17,IF($D$3&lt;$C17,0,IF($D$3&lt;$D17,1,2)),IF($D$3&lt;$F17,3,IF($D$3&lt;$G17,4,5))),IF($D$3&lt;$K17,IF($D$3&lt;$I17,6,IF($D$3&lt;$J17,7,8)),IF($D$3&lt;$L17,9,10)))</f>
        <v>0</v>
      </c>
      <c r="J9" s="467">
        <f>IF(I9=0,0,IF(INDEX(C17:L17,1,I9)&gt;$C$3,$D$3-INDEX(C17:L17,1,I9)+1,$D$3-$C$3+1))</f>
        <v>0</v>
      </c>
      <c r="K9" s="467">
        <f>IF(I9=0,0,INDEX(C25:L25,1,I9))</f>
        <v>0</v>
      </c>
      <c r="L9" s="467">
        <f>IF(I9=0,0,INDEX(C33:L33,1,I9))</f>
        <v>0</v>
      </c>
      <c r="M9" s="475">
        <f>IF(I9=0,0,INDEX(C41:L41,1,I9))</f>
        <v>0</v>
      </c>
      <c r="N9" s="491" t="str">
        <f>IF(ISNA(C9),"Please select a valid RITA city name from the drop down",IF(AND(D9=0,C9&gt;1),CONCATENATE("You cannot use this Excel based form for ", B9, " because tax rates for this city are available starting from ", TEXT(C17,"mm/dd/yyyy")),IF(D9&lt;&gt;I9,CONCATENATE("You cannot use this Excel based form for ", B9, " due to tax rate change during business's fiscal year effective on ", TEXT(INDEX(C17:L17,1,I9),"mm/dd/yyyy")),"")))</f>
        <v/>
      </c>
    </row>
    <row r="10" spans="1:14" s="1" customFormat="1" ht="11.25" customHeight="1" x14ac:dyDescent="0.2">
      <c r="A10" s="485"/>
      <c r="B10" s="470">
        <f>'Complete This Page'!$B$19</f>
        <v>0</v>
      </c>
      <c r="C10" s="471">
        <f>IF(LEN(B10)&lt;=2,1,INDEX('Tax Rates'!$A$3:$A$356,MATCH(B10,'Tax Rates'!$C$3:$C$356,0),1))</f>
        <v>1</v>
      </c>
      <c r="D10" s="482">
        <f>IF($C$3&lt;$H18,IF($C$3&lt;$E18,IF($C$3&lt;$C18,0,IF($C$3&lt;$D18,1,2)),IF($C$3&lt;$F18,3,IF($C$3&lt;$G18,4,5))),IF($C$3&lt;$K18,IF($C$3&lt;$I18,6,IF($C$3&lt;$J18,7,8)),IF($C$3&lt;$L18,9,10)))</f>
        <v>0</v>
      </c>
      <c r="E10" s="467">
        <f>IF(D10=0,0,IF(INDEX(C18:L18,1,D10+1)&gt;$D$3,$D$3-$C$3+1,INDEX(C18:L18,1,D10+1)-$C$3))</f>
        <v>0</v>
      </c>
      <c r="F10" s="467">
        <f>IF(D10=0,0,INDEX(C26:L26,1,D10))</f>
        <v>0</v>
      </c>
      <c r="G10" s="467">
        <f>IF(D10=0,0,INDEX(C34:L34,1,D10))</f>
        <v>0</v>
      </c>
      <c r="H10" s="475">
        <f>IF(D10=0,0,INDEX(C42:L42,1,D10))</f>
        <v>0</v>
      </c>
      <c r="I10" s="469">
        <f>IF($D$3&lt;$H18,IF($D$3&lt;$E18,IF($D$3&lt;$C18,0,IF($D$3&lt;$D18,1,2)),IF($D$3&lt;$F18,3,IF($D$3&lt;$G18,4,5))),IF($D$3&lt;$K18,IF($D$3&lt;$I18,6,IF($D$3&lt;$J18,7,8)),IF($D$3&lt;$L18,9,10)))</f>
        <v>0</v>
      </c>
      <c r="J10" s="467">
        <f>IF(I10=0,0,IF(INDEX(C18:L18,1,I10)&gt;$C$3,$D$3-INDEX(C18:L18,1,I10)+1,$D$3-$C$3+1))</f>
        <v>0</v>
      </c>
      <c r="K10" s="467">
        <f>IF(I10=0,0,INDEX(C26:L26,1,I10))</f>
        <v>0</v>
      </c>
      <c r="L10" s="467">
        <f>IF(I10=0,0,INDEX(C34:L34,1,I10))</f>
        <v>0</v>
      </c>
      <c r="M10" s="475">
        <f>IF(I10=0,0,INDEX(C42:L42,1,I10))</f>
        <v>0</v>
      </c>
      <c r="N10" s="491" t="str">
        <f>IF(ISNA(C10),"Please select a valid RITA city name from the drop down",IF(AND(D10=0,C10&gt;1),CONCATENATE("You cannot use this Excel based form for ", B10, " because tax rates for this city are available starting from ", TEXT(C18,"mm/dd/yyyy")),IF(D10&lt;&gt;I10,CONCATENATE("You cannot use this Excel based form for ", B10, " due to tax rate change during business's fiscal year effective on ", TEXT(INDEX(C18:L18,1,I10),"mm/dd/yyyy")),"")))</f>
        <v/>
      </c>
    </row>
    <row r="11" spans="1:14" s="1" customFormat="1" ht="11.25" customHeight="1" thickBot="1" x14ac:dyDescent="0.25">
      <c r="A11" s="485"/>
      <c r="B11" s="476">
        <f>'Complete This Page'!$B$20</f>
        <v>0</v>
      </c>
      <c r="C11" s="477">
        <f>IF(LEN(B11)&lt;=2,1,INDEX('Tax Rates'!$A$3:$A$356,MATCH(B11,'Tax Rates'!$C$3:$C$356,0),1))</f>
        <v>1</v>
      </c>
      <c r="D11" s="482">
        <f>IF($C$3&lt;$H19,IF($C$3&lt;$E19,IF($C$3&lt;$C19,0,IF($C$3&lt;$D19,1,2)),IF($C$3&lt;$F19,3,IF($C$3&lt;$G19,4,5))),IF($C$3&lt;$K19,IF($C$3&lt;$I19,6,IF($C$3&lt;$J19,7,8)),IF($C$3&lt;$L19,9,10)))</f>
        <v>0</v>
      </c>
      <c r="E11" s="478">
        <f>IF(D11=0,0,IF(INDEX(C19:L19,1,D11+1)&gt;$D$3,$D$3-$C$3+1,INDEX(C19:L19,1,D11+1)-$C$3))</f>
        <v>0</v>
      </c>
      <c r="F11" s="478">
        <f>IF(D11=0,0,INDEX(C27:L27,1,D11))</f>
        <v>0</v>
      </c>
      <c r="G11" s="478">
        <f>IF(D11=0,0,INDEX(C35:L35,1,D11))</f>
        <v>0</v>
      </c>
      <c r="H11" s="479">
        <f>IF(D11=0,0,INDEX(C43:L43,1,D11))</f>
        <v>0</v>
      </c>
      <c r="I11" s="469">
        <f>IF($D$3&lt;$H19,IF($D$3&lt;$E19,IF($D$3&lt;$C19,0,IF($D$3&lt;$D19,1,2)),IF($D$3&lt;$F19,3,IF($D$3&lt;$G19,4,5))),IF($D$3&lt;$K19,IF($D$3&lt;$I19,6,IF($D$3&lt;$J19,7,8)),IF($D$3&lt;$L19,9,10)))</f>
        <v>0</v>
      </c>
      <c r="J11" s="478">
        <f>IF(I11=0,0,IF(INDEX(C19:L19,1,I11)&gt;$C$3,$D$3-INDEX(C19:L19,1,I11)+1,$D$3-$C$3+1))</f>
        <v>0</v>
      </c>
      <c r="K11" s="478">
        <f>IF(I11=0,0,INDEX(C27:L27,1,I11))</f>
        <v>0</v>
      </c>
      <c r="L11" s="478">
        <f>IF(I11=0,0,INDEX(C35:L35,1,I11))</f>
        <v>0</v>
      </c>
      <c r="M11" s="479">
        <f>IF(I11=0,0,INDEX(C43:L43,1,I11))</f>
        <v>0</v>
      </c>
      <c r="N11" s="492" t="str">
        <f>IF(ISNA(C11),"Please select a valid RITA city name from the drop down",IF(AND(D11=0,C11&gt;1),CONCATENATE("You cannot use this Excel based form for ", B11, " because tax rates for this city are available starting from ", TEXT(C19,"mm/dd/yyyy")),IF(D11&lt;&gt;I11,CONCATENATE("You cannot use this Excel based form for ", B11, " due to tax rate change during business's fiscal year effective on ", TEXT(INDEX(C19:L19,1,I11),"mm/dd/yyyy")),"")))</f>
        <v/>
      </c>
    </row>
    <row r="12" spans="1:14" s="1" customFormat="1" ht="11.25" customHeight="1" x14ac:dyDescent="0.2">
      <c r="A12" s="365"/>
    </row>
    <row r="13" spans="1:14" s="368" customFormat="1" ht="11.25" customHeight="1" x14ac:dyDescent="0.2">
      <c r="B13" s="368" t="s">
        <v>253</v>
      </c>
    </row>
    <row r="14" spans="1:14" s="368" customFormat="1" ht="11.25" customHeight="1" x14ac:dyDescent="0.2">
      <c r="B14" s="368" t="s">
        <v>491</v>
      </c>
      <c r="C14" s="364" t="s">
        <v>775</v>
      </c>
      <c r="D14" s="364" t="s">
        <v>776</v>
      </c>
      <c r="E14" s="364" t="s">
        <v>777</v>
      </c>
      <c r="F14" s="364" t="s">
        <v>778</v>
      </c>
      <c r="G14" s="364" t="s">
        <v>779</v>
      </c>
      <c r="H14" s="364" t="s">
        <v>780</v>
      </c>
      <c r="I14" s="364" t="s">
        <v>781</v>
      </c>
      <c r="J14" s="364" t="s">
        <v>782</v>
      </c>
      <c r="K14" s="364" t="s">
        <v>783</v>
      </c>
      <c r="L14" s="364" t="s">
        <v>784</v>
      </c>
    </row>
    <row r="15" spans="1:14" s="1" customFormat="1" ht="11.25" customHeight="1" x14ac:dyDescent="0.2">
      <c r="A15" s="1">
        <v>1</v>
      </c>
      <c r="B15" s="1">
        <f>$B$7</f>
        <v>0</v>
      </c>
      <c r="C15" s="437">
        <f>IF(ISBLANK(LOOKUP($C$7,'Tax Rates'!$A$3:$A$406,'Tax Rates'!$G$3:$G$406)),DATE(2599,1,1),LOOKUP($C$7,'Tax Rates'!$A$3:$A$406,'Tax Rates'!$G$3:$G$406))</f>
        <v>255307</v>
      </c>
      <c r="D15" s="437">
        <f>IF(ISBLANK(LOOKUP($C$7,'Tax Rates'!$A$3:$A$406,'Tax Rates'!$L$3:$L$406)),DATE(2599,1,1),LOOKUP($C$7,'Tax Rates'!$A$3:$A$406,'Tax Rates'!$L$3:$L$406))</f>
        <v>255307</v>
      </c>
      <c r="E15" s="437">
        <f>IF(ISBLANK(LOOKUP($C$7,'Tax Rates'!$A$3:$A$406,'Tax Rates'!$Q$3:$Q$406)),DATE(2599,1,1),LOOKUP($C$7,'Tax Rates'!$A$3:$A$406,'Tax Rates'!$Q$3:$Q$406))</f>
        <v>255307</v>
      </c>
      <c r="F15" s="437">
        <f>IF(ISBLANK(LOOKUP($C$7,'Tax Rates'!$A$3:$A$406,'Tax Rates'!$V$3:$V$406)),DATE(2599,1,1),LOOKUP($C$7,'Tax Rates'!$A$3:$A$406,'Tax Rates'!$V$3:$V$406))</f>
        <v>255307</v>
      </c>
      <c r="G15" s="437">
        <f>IF(ISBLANK(LOOKUP($C$7,'Tax Rates'!$A$3:$A$406,'Tax Rates'!$AA$3:$AA$406)),DATE(2599,1,1),LOOKUP($C$7,'Tax Rates'!$A$3:$A$406,'Tax Rates'!$AA$3:$AA$406))</f>
        <v>255307</v>
      </c>
      <c r="H15" s="437">
        <f>IF(ISBLANK(LOOKUP($C$7,'Tax Rates'!$A$3:$A$406,'Tax Rates'!$AF$3:$AF$406)),DATE(2599,1,1),LOOKUP($C$7,'Tax Rates'!$A$3:$A$406,'Tax Rates'!$AF$3:$AF$406))</f>
        <v>255307</v>
      </c>
      <c r="I15" s="437">
        <f>IF(ISBLANK(LOOKUP($C$7,'Tax Rates'!$A$3:$A$406,'Tax Rates'!$AK$3:$AK$406)),DATE(2599,1,1),LOOKUP($C$7,'Tax Rates'!$A$3:$A$406,'Tax Rates'!$AK$3:$AK$406))</f>
        <v>255307</v>
      </c>
      <c r="J15" s="437">
        <f>IF(ISBLANK(LOOKUP($C$7,'Tax Rates'!$A$3:$A$406,'Tax Rates'!$AP$3:$AP$406)),DATE(2599,1,1),LOOKUP($C$7,'Tax Rates'!$A$3:$A$406,'Tax Rates'!$AP$3:$AP$406))</f>
        <v>255307</v>
      </c>
      <c r="K15" s="437">
        <f>IF(ISBLANK(LOOKUP($C$7,'Tax Rates'!$A$3:$A$406,'Tax Rates'!$AU$3:$AU$406)),DATE(2599,1,1),LOOKUP($C$7,'Tax Rates'!$A$3:$A$406,'Tax Rates'!$AU$3:$AU$406))</f>
        <v>255307</v>
      </c>
      <c r="L15" s="437">
        <f>IF(ISBLANK(LOOKUP($C$7,'Tax Rates'!$A$3:$A$406,'Tax Rates'!$AZ$3:$AZ$406)),DATE(2599,1,1),LOOKUP($C$7,'Tax Rates'!$A$3:$A$406,'Tax Rates'!$AZ$3:$AZ$406))</f>
        <v>255307</v>
      </c>
    </row>
    <row r="16" spans="1:14" s="1" customFormat="1" ht="11.25" customHeight="1" x14ac:dyDescent="0.2">
      <c r="A16" s="1">
        <v>2</v>
      </c>
      <c r="B16" s="1">
        <f>$B$8</f>
        <v>0</v>
      </c>
      <c r="C16" s="437">
        <f>IF(ISBLANK(LOOKUP($C$8,'Tax Rates'!$A$3:$A$406,'Tax Rates'!$G$3:$G$406)),DATE(2599,1,1),LOOKUP($C$8,'Tax Rates'!$A$3:$A$406,'Tax Rates'!$G$3:$G$406))</f>
        <v>255307</v>
      </c>
      <c r="D16" s="437">
        <f>IF(ISBLANK(LOOKUP($C$8,'Tax Rates'!$A$3:$A$406,'Tax Rates'!$L$3:$L$406)),DATE(2599,1,1),LOOKUP($C$8,'Tax Rates'!$A$3:$A$406,'Tax Rates'!$L$3:$L$406))</f>
        <v>255307</v>
      </c>
      <c r="E16" s="437">
        <f>IF(ISBLANK(LOOKUP($C$8,'Tax Rates'!$A$3:$A$406,'Tax Rates'!$Q$3:$Q$406)),DATE(2599,1,1),LOOKUP($C$8,'Tax Rates'!$A$3:$A$406,'Tax Rates'!$Q$3:$Q$406))</f>
        <v>255307</v>
      </c>
      <c r="F16" s="437">
        <f>IF(ISBLANK(LOOKUP($C$8,'Tax Rates'!$A$3:$A$406,'Tax Rates'!$V$3:$V$406)),DATE(2599,1,1),LOOKUP($C$8,'Tax Rates'!$A$3:$A$406,'Tax Rates'!$V$3:$V$406))</f>
        <v>255307</v>
      </c>
      <c r="G16" s="437">
        <f>IF(ISBLANK(LOOKUP($C$8,'Tax Rates'!$A$3:$A$406,'Tax Rates'!$AA$3:$AA$406)),DATE(2599,1,1),LOOKUP($C$8,'Tax Rates'!$A$3:$A$406,'Tax Rates'!$AA$3:$AA$406))</f>
        <v>255307</v>
      </c>
      <c r="H16" s="437">
        <f>IF(ISBLANK(LOOKUP($C$8,'Tax Rates'!$A$3:$A$406,'Tax Rates'!$AF$3:$AF$406)),DATE(2599,1,1),LOOKUP($C$8,'Tax Rates'!$A$3:$A$406,'Tax Rates'!$AF$3:$AF$406))</f>
        <v>255307</v>
      </c>
      <c r="I16" s="437">
        <f>IF(ISBLANK(LOOKUP($C$8,'Tax Rates'!$A$3:$A$406,'Tax Rates'!$AK$3:$AK$406)),DATE(2599,1,1),LOOKUP($C$8,'Tax Rates'!$A$3:$A$406,'Tax Rates'!$AK$3:$AK$406))</f>
        <v>255307</v>
      </c>
      <c r="J16" s="437">
        <f>IF(ISBLANK(LOOKUP($C$8,'Tax Rates'!$A$3:$A$406,'Tax Rates'!$AP$3:$AP$406)),DATE(2599,1,1),LOOKUP($C$8,'Tax Rates'!$A$3:$A$406,'Tax Rates'!$AP$3:$AP$406))</f>
        <v>255307</v>
      </c>
      <c r="K16" s="437">
        <f>IF(ISBLANK(LOOKUP($C$8,'Tax Rates'!$A$3:$A$406,'Tax Rates'!$AU$3:$AU$406)),DATE(2599,1,1),LOOKUP($C$8,'Tax Rates'!$A$3:$A$406,'Tax Rates'!$AU$3:$AU$406))</f>
        <v>255307</v>
      </c>
      <c r="L16" s="437">
        <f>IF(ISBLANK(LOOKUP($C$8,'Tax Rates'!$A$3:$A$406,'Tax Rates'!$AZ$3:$AZ$406)),DATE(2599,1,1),LOOKUP($C$8,'Tax Rates'!$A$3:$A$406,'Tax Rates'!$AZ$3:$AZ$406))</f>
        <v>255307</v>
      </c>
    </row>
    <row r="17" spans="1:14" s="1" customFormat="1" ht="11.25" customHeight="1" x14ac:dyDescent="0.2">
      <c r="A17" s="1">
        <v>3</v>
      </c>
      <c r="B17" s="1">
        <f>$B$9</f>
        <v>0</v>
      </c>
      <c r="C17" s="437">
        <f>IF(ISBLANK(LOOKUP($C$9,'Tax Rates'!$A$3:$A$406,'Tax Rates'!$G$3:$G$406)),DATE(2599,1,1),LOOKUP($C$9,'Tax Rates'!$A$3:$A$406,'Tax Rates'!$G$3:$G$406))</f>
        <v>255307</v>
      </c>
      <c r="D17" s="437">
        <f>IF(ISBLANK(LOOKUP($C$9,'Tax Rates'!$A$3:$A$406,'Tax Rates'!$L$3:$L$406)),DATE(2599,1,1),LOOKUP($C$9,'Tax Rates'!$A$3:$A$406,'Tax Rates'!$L$3:$L$406))</f>
        <v>255307</v>
      </c>
      <c r="E17" s="437">
        <f>IF(ISBLANK(LOOKUP($C$9,'Tax Rates'!$A$3:$A$406,'Tax Rates'!$Q$3:$Q$406)),DATE(2599,1,1),LOOKUP($C$9,'Tax Rates'!$A$3:$A$406,'Tax Rates'!$Q$3:$Q$406))</f>
        <v>255307</v>
      </c>
      <c r="F17" s="437">
        <f>IF(ISBLANK(LOOKUP($C$9,'Tax Rates'!$A$3:$A$406,'Tax Rates'!$V$3:$V$406)),DATE(2599,1,1),LOOKUP($C$9,'Tax Rates'!$A$3:$A$406,'Tax Rates'!$V$3:$V$406))</f>
        <v>255307</v>
      </c>
      <c r="G17" s="437">
        <f>IF(ISBLANK(LOOKUP($C$9,'Tax Rates'!$A$3:$A$406,'Tax Rates'!$AA$3:$AA$406)),DATE(2599,1,1),LOOKUP($C$9,'Tax Rates'!$A$3:$A$406,'Tax Rates'!$AA$3:$AA$406))</f>
        <v>255307</v>
      </c>
      <c r="H17" s="437">
        <f>IF(ISBLANK(LOOKUP($C$9,'Tax Rates'!$A$3:$A$406,'Tax Rates'!$AF$3:$AF$406)),DATE(2599,1,1),LOOKUP($C$9,'Tax Rates'!$A$3:$A$406,'Tax Rates'!$AF$3:$AF$406))</f>
        <v>255307</v>
      </c>
      <c r="I17" s="437">
        <f>IF(ISBLANK(LOOKUP($C$9,'Tax Rates'!$A$3:$A$406,'Tax Rates'!$AK$3:$AK$406)),DATE(2599,1,1),LOOKUP($C$9,'Tax Rates'!$A$3:$A$406,'Tax Rates'!$AK$3:$AK$406))</f>
        <v>255307</v>
      </c>
      <c r="J17" s="437">
        <f>IF(ISBLANK(LOOKUP($C$9,'Tax Rates'!$A$3:$A$406,'Tax Rates'!$AP$3:$AP$406)),DATE(2599,1,1),LOOKUP($C$9,'Tax Rates'!$A$3:$A$406,'Tax Rates'!$AP$3:$AP$406))</f>
        <v>255307</v>
      </c>
      <c r="K17" s="437">
        <f>IF(ISBLANK(LOOKUP($C$9,'Tax Rates'!$A$3:$A$406,'Tax Rates'!$AU$3:$AU$406)),DATE(2599,1,1),LOOKUP($C$9,'Tax Rates'!$A$3:$A$406,'Tax Rates'!$AU$3:$AU$406))</f>
        <v>255307</v>
      </c>
      <c r="L17" s="437">
        <f>IF(ISBLANK(LOOKUP($C$9,'Tax Rates'!$A$3:$A$406,'Tax Rates'!$AZ$3:$AZ$406)),DATE(2599,1,1),LOOKUP($C$9,'Tax Rates'!$A$3:$A$406,'Tax Rates'!$AZ$3:$AZ$406))</f>
        <v>255307</v>
      </c>
    </row>
    <row r="18" spans="1:14" s="1" customFormat="1" ht="11.25" customHeight="1" x14ac:dyDescent="0.2">
      <c r="A18" s="1">
        <v>4</v>
      </c>
      <c r="B18" s="1">
        <f>$B$10</f>
        <v>0</v>
      </c>
      <c r="C18" s="437">
        <f>IF(ISBLANK(LOOKUP($C$10,'Tax Rates'!$A$3:$A$406,'Tax Rates'!$G$3:$G$406)),DATE(2599,1,1),LOOKUP($C$10,'Tax Rates'!$A$3:$A$406,'Tax Rates'!$G$3:$G$406))</f>
        <v>255307</v>
      </c>
      <c r="D18" s="437">
        <f>IF(ISBLANK(LOOKUP($C$10,'Tax Rates'!$A$3:$A$406,'Tax Rates'!$L$3:$L$406)),DATE(2599,1,1),LOOKUP($C$10,'Tax Rates'!$A$3:$A$406,'Tax Rates'!$L$3:$L$406))</f>
        <v>255307</v>
      </c>
      <c r="E18" s="437">
        <f>IF(ISBLANK(LOOKUP($C$10,'Tax Rates'!$A$3:$A$406,'Tax Rates'!$Q$3:$Q$406)),DATE(2599,1,1),LOOKUP($C$10,'Tax Rates'!$A$3:$A$406,'Tax Rates'!$Q$3:$Q$406))</f>
        <v>255307</v>
      </c>
      <c r="F18" s="437">
        <f>IF(ISBLANK(LOOKUP($C$10,'Tax Rates'!$A$3:$A$406,'Tax Rates'!$V$3:$V$406)),DATE(2599,1,1),LOOKUP($C$10,'Tax Rates'!$A$3:$A$406,'Tax Rates'!$V$3:$V$406))</f>
        <v>255307</v>
      </c>
      <c r="G18" s="437">
        <f>IF(ISBLANK(LOOKUP($C$10,'Tax Rates'!$A$3:$A$406,'Tax Rates'!$AA$3:$AA$406)),DATE(2599,1,1),LOOKUP($C$10,'Tax Rates'!$A$3:$A$406,'Tax Rates'!$AA$3:$AA$406))</f>
        <v>255307</v>
      </c>
      <c r="H18" s="437">
        <f>IF(ISBLANK(LOOKUP($C$10,'Tax Rates'!$A$3:$A$406,'Tax Rates'!$AF$3:$AF$406)),DATE(2599,1,1),LOOKUP($C$10,'Tax Rates'!$A$3:$A$406,'Tax Rates'!$AF$3:$AF$406))</f>
        <v>255307</v>
      </c>
      <c r="I18" s="437">
        <f>IF(ISBLANK(LOOKUP($C$10,'Tax Rates'!$A$3:$A$406,'Tax Rates'!$AK$3:$AK$406)),DATE(2599,1,1),LOOKUP($C$10,'Tax Rates'!$A$3:$A$406,'Tax Rates'!$AK$3:$AK$406))</f>
        <v>255307</v>
      </c>
      <c r="J18" s="437">
        <f>IF(ISBLANK(LOOKUP($C$10,'Tax Rates'!$A$3:$A$406,'Tax Rates'!$AP$3:$AP$406)),DATE(2599,1,1),LOOKUP($C$10,'Tax Rates'!$A$3:$A$406,'Tax Rates'!$AP$3:$AP$406))</f>
        <v>255307</v>
      </c>
      <c r="K18" s="437">
        <f>IF(ISBLANK(LOOKUP($C$10,'Tax Rates'!$A$3:$A$406,'Tax Rates'!$AU$3:$AU$406)),DATE(2599,1,1),LOOKUP($C$10,'Tax Rates'!$A$3:$A$406,'Tax Rates'!$AU$3:$AU$406))</f>
        <v>255307</v>
      </c>
      <c r="L18" s="437">
        <f>IF(ISBLANK(LOOKUP($C$10,'Tax Rates'!$A$3:$A$406,'Tax Rates'!$AZ$3:$AZ$406)),DATE(2599,1,1),LOOKUP($C$10,'Tax Rates'!$A$3:$A$406,'Tax Rates'!$AZ$3:$AZ$406))</f>
        <v>255307</v>
      </c>
    </row>
    <row r="19" spans="1:14" s="1" customFormat="1" ht="11.25" customHeight="1" x14ac:dyDescent="0.2">
      <c r="A19" s="1">
        <v>5</v>
      </c>
      <c r="B19" s="1">
        <f>$B$11</f>
        <v>0</v>
      </c>
      <c r="C19" s="437">
        <f>IF(ISBLANK(LOOKUP($C$11,'Tax Rates'!$A$3:$A$406,'Tax Rates'!$G$3:$G$406)),DATE(2599,1,1),LOOKUP($C$11,'Tax Rates'!$A$3:$A$406,'Tax Rates'!$G$3:$G$406))</f>
        <v>255307</v>
      </c>
      <c r="D19" s="437">
        <f>IF(ISBLANK(LOOKUP($C$11,'Tax Rates'!$A$3:$A$406,'Tax Rates'!$L$3:$L$406)),DATE(2599,1,1),LOOKUP($C$11,'Tax Rates'!$A$3:$A$406,'Tax Rates'!$L$3:$L$406))</f>
        <v>255307</v>
      </c>
      <c r="E19" s="437">
        <f>IF(ISBLANK(LOOKUP($C$11,'Tax Rates'!$A$3:$A$406,'Tax Rates'!$Q$3:$Q$406)),DATE(2599,1,1),LOOKUP($C$11,'Tax Rates'!$A$3:$A$406,'Tax Rates'!$Q$3:$Q$406))</f>
        <v>255307</v>
      </c>
      <c r="F19" s="437">
        <f>IF(ISBLANK(LOOKUP($C$11,'Tax Rates'!$A$3:$A$406,'Tax Rates'!$V$3:$V$406)),DATE(2599,1,1),LOOKUP($C$11,'Tax Rates'!$A$3:$A$406,'Tax Rates'!$V$3:$V$406))</f>
        <v>255307</v>
      </c>
      <c r="G19" s="437">
        <f>IF(ISBLANK(LOOKUP($C$11,'Tax Rates'!$A$3:$A$406,'Tax Rates'!$AA$3:$AA$406)),DATE(2599,1,1),LOOKUP($C$11,'Tax Rates'!$A$3:$A$406,'Tax Rates'!$AA$3:$AA$406))</f>
        <v>255307</v>
      </c>
      <c r="H19" s="437">
        <f>IF(ISBLANK(LOOKUP($C$11,'Tax Rates'!$A$3:$A$406,'Tax Rates'!$AF$3:$AF$406)),DATE(2599,1,1),LOOKUP($C$11,'Tax Rates'!$A$3:$A$406,'Tax Rates'!$AF$3:$AF$406))</f>
        <v>255307</v>
      </c>
      <c r="I19" s="437">
        <f>IF(ISBLANK(LOOKUP($C$11,'Tax Rates'!$A$3:$A$406,'Tax Rates'!$AK$3:$AK$406)),DATE(2599,1,1),LOOKUP($C$11,'Tax Rates'!$A$3:$A$406,'Tax Rates'!$AK$3:$AK$406))</f>
        <v>255307</v>
      </c>
      <c r="J19" s="437">
        <f>IF(ISBLANK(LOOKUP($C$11,'Tax Rates'!$A$3:$A$406,'Tax Rates'!$AP$3:$AP$406)),DATE(2599,1,1),LOOKUP($C$11,'Tax Rates'!$A$3:$A$406,'Tax Rates'!$AP$3:$AP$406))</f>
        <v>255307</v>
      </c>
      <c r="K19" s="437">
        <f>IF(ISBLANK(LOOKUP($C$11,'Tax Rates'!$A$3:$A$406,'Tax Rates'!$AU$3:$AU$406)),DATE(2599,1,1),LOOKUP($C$11,'Tax Rates'!$A$3:$A$406,'Tax Rates'!$AU$3:$AU$406))</f>
        <v>255307</v>
      </c>
      <c r="L19" s="437">
        <f>IF(ISBLANK(LOOKUP($C$11,'Tax Rates'!$A$3:$A$406,'Tax Rates'!$AZ$3:$AZ$406)),DATE(2599,1,1),LOOKUP($C$11,'Tax Rates'!$A$3:$A$406,'Tax Rates'!$AZ$3:$AZ$406))</f>
        <v>255307</v>
      </c>
    </row>
    <row r="21" spans="1:14" s="368" customFormat="1" ht="11.25" customHeight="1" x14ac:dyDescent="0.2">
      <c r="B21" s="368" t="s">
        <v>254</v>
      </c>
    </row>
    <row r="22" spans="1:14" ht="11.25" customHeight="1" x14ac:dyDescent="0.2">
      <c r="A22" s="368"/>
      <c r="B22" s="368" t="s">
        <v>491</v>
      </c>
      <c r="C22" s="364" t="s">
        <v>1017</v>
      </c>
      <c r="D22" s="364" t="s">
        <v>1020</v>
      </c>
      <c r="E22" s="364" t="s">
        <v>1021</v>
      </c>
      <c r="F22" s="364" t="s">
        <v>1022</v>
      </c>
      <c r="G22" s="364" t="s">
        <v>1023</v>
      </c>
      <c r="H22" s="364" t="s">
        <v>1024</v>
      </c>
      <c r="I22" s="364" t="s">
        <v>1025</v>
      </c>
      <c r="J22" s="364" t="s">
        <v>1026</v>
      </c>
      <c r="K22" s="364" t="s">
        <v>1027</v>
      </c>
      <c r="L22" s="364" t="s">
        <v>1028</v>
      </c>
      <c r="M22" s="368"/>
      <c r="N22" s="368"/>
    </row>
    <row r="23" spans="1:14" ht="11.25" customHeight="1" x14ac:dyDescent="0.2">
      <c r="A23" s="1">
        <v>1</v>
      </c>
      <c r="B23" s="1">
        <f>$B$7</f>
        <v>0</v>
      </c>
      <c r="C23" s="464">
        <f>IF(ISBLANK(LOOKUP($C$7,'Tax Rates'!$A$3:$A$406,'Tax Rates'!$D$3:$D$406)),0,LOOKUP($C$7,'Tax Rates'!$A$3:$A$406,'Tax Rates'!$D$3:$D$406))</f>
        <v>0</v>
      </c>
      <c r="D23" s="464">
        <f>IF(ISBLANK(LOOKUP($C$7,'Tax Rates'!$A$3:$A$406,'Tax Rates'!$I$3:$I$406)),0,LOOKUP($C$7,'Tax Rates'!$A$3:$A$406,'Tax Rates'!$I$3:$I$406))</f>
        <v>0</v>
      </c>
      <c r="E23" s="464">
        <f>IF(ISBLANK(LOOKUP($C$7,'Tax Rates'!$A$3:$A$406,'Tax Rates'!$N$3:$N$406)),0,LOOKUP($C$7,'Tax Rates'!$A$3:$A$406,'Tax Rates'!$N$3:$N$406))</f>
        <v>0</v>
      </c>
      <c r="F23" s="464">
        <f>IF(ISBLANK(LOOKUP($C$7,'Tax Rates'!$A$3:$A$406,'Tax Rates'!$S$3:$S$406)),0,LOOKUP($C$7,'Tax Rates'!$A$3:$A$406,'Tax Rates'!$S$3:$S$406))</f>
        <v>0</v>
      </c>
      <c r="G23" s="464">
        <f>IF(ISBLANK(LOOKUP($C$7,'Tax Rates'!$A$3:$A$406,'Tax Rates'!$X$3:$X$406)),0,LOOKUP($C$7,'Tax Rates'!$A$3:$A$406,'Tax Rates'!$X$3:$X$406))</f>
        <v>0</v>
      </c>
      <c r="H23" s="464">
        <f>IF(ISBLANK(LOOKUP($C$7,'Tax Rates'!$A$3:$A$406,'Tax Rates'!$AC$3:$AC$406)),0,LOOKUP($C$7,'Tax Rates'!$A$3:$A$406,'Tax Rates'!$AC$3:$AC$406))</f>
        <v>0</v>
      </c>
      <c r="I23" s="464">
        <f>IF(ISBLANK(LOOKUP($C$7,'Tax Rates'!$A$3:$A$406,'Tax Rates'!$AH$3:$AH$406)),0,LOOKUP($C$7,'Tax Rates'!$A$3:$A$406,'Tax Rates'!$AH$3:$AH$406))</f>
        <v>0</v>
      </c>
      <c r="J23" s="464">
        <f>IF(ISBLANK(LOOKUP($C$7,'Tax Rates'!$A$3:$A$406,'Tax Rates'!$AM$3:$AM$406)),0,LOOKUP($C$7,'Tax Rates'!$A$3:$A$406,'Tax Rates'!$AM$3:$AM$406))</f>
        <v>0</v>
      </c>
      <c r="K23" s="464">
        <f>IF(ISBLANK(LOOKUP($C$7,'Tax Rates'!$A$3:$A$406,'Tax Rates'!$AR$3:$AR$406)),0,LOOKUP($C$7,'Tax Rates'!$A$3:$A$406,'Tax Rates'!$AR$3:$AR$406))</f>
        <v>0</v>
      </c>
      <c r="L23" s="464">
        <f>IF(ISBLANK(LOOKUP($C$7,'Tax Rates'!$A$3:$A$406,'Tax Rates'!$AW$3:$AW$406)),0,LOOKUP($C$7,'Tax Rates'!$A$3:$A$406,'Tax Rates'!$AW$3:$AW$406))</f>
        <v>0</v>
      </c>
      <c r="M23" s="1"/>
      <c r="N23" s="1"/>
    </row>
    <row r="24" spans="1:14" ht="11.25" customHeight="1" x14ac:dyDescent="0.2">
      <c r="A24" s="1">
        <v>2</v>
      </c>
      <c r="B24" s="1">
        <f>$B$8</f>
        <v>0</v>
      </c>
      <c r="C24" s="464">
        <f>IF(ISBLANK(LOOKUP($C$8,'Tax Rates'!$A$3:$A$406,'Tax Rates'!$D$3:$D$406)),0,LOOKUP($C$8,'Tax Rates'!$A$3:$A$406,'Tax Rates'!$D$3:$D$406))</f>
        <v>0</v>
      </c>
      <c r="D24" s="464">
        <f>IF(ISBLANK(LOOKUP($C$8,'Tax Rates'!$A$3:$A$406,'Tax Rates'!$I$3:$I$406)),0,LOOKUP($C$8,'Tax Rates'!$A$3:$A$406,'Tax Rates'!$I$3:$I$406))</f>
        <v>0</v>
      </c>
      <c r="E24" s="464">
        <f>IF(ISBLANK(LOOKUP($C$8,'Tax Rates'!$A$3:$A$406,'Tax Rates'!$N$3:$N$406)),0,LOOKUP($C$8,'Tax Rates'!$A$3:$A$406,'Tax Rates'!$N$3:$N$406))</f>
        <v>0</v>
      </c>
      <c r="F24" s="464">
        <f>IF(ISBLANK(LOOKUP($C$8,'Tax Rates'!$A$3:$A$406,'Tax Rates'!$S$3:$S$406)),0,LOOKUP($C$8,'Tax Rates'!$A$3:$A$406,'Tax Rates'!$S$3:$S$406))</f>
        <v>0</v>
      </c>
      <c r="G24" s="464">
        <f>IF(ISBLANK(LOOKUP($C$8,'Tax Rates'!$A$3:$A$406,'Tax Rates'!$X$3:$X$406)),0,LOOKUP($C$8,'Tax Rates'!$A$3:$A$406,'Tax Rates'!$X$3:$X$406))</f>
        <v>0</v>
      </c>
      <c r="H24" s="464">
        <f>IF(ISBLANK(LOOKUP($C$8,'Tax Rates'!$A$3:$A$406,'Tax Rates'!$AC$3:$AC$406)),0,LOOKUP($C$8,'Tax Rates'!$A$3:$A$406,'Tax Rates'!$AC$3:$AC$406))</f>
        <v>0</v>
      </c>
      <c r="I24" s="464">
        <f>IF(ISBLANK(LOOKUP($C$8,'Tax Rates'!$A$3:$A$406,'Tax Rates'!$AH$3:$AH$406)),0,LOOKUP($C$8,'Tax Rates'!$A$3:$A$406,'Tax Rates'!$AH$3:$AH$406))</f>
        <v>0</v>
      </c>
      <c r="J24" s="464">
        <f>IF(ISBLANK(LOOKUP($C$8,'Tax Rates'!$A$3:$A$406,'Tax Rates'!$AM$3:$AM$406)),0,LOOKUP($C$8,'Tax Rates'!$A$3:$A$406,'Tax Rates'!$AM$3:$AM$406))</f>
        <v>0</v>
      </c>
      <c r="K24" s="464">
        <f>IF(ISBLANK(LOOKUP($C$8,'Tax Rates'!$A$3:$A$406,'Tax Rates'!$AR$3:$AR$406)),0,LOOKUP($C$8,'Tax Rates'!$A$3:$A$406,'Tax Rates'!$AR$3:$AR$406))</f>
        <v>0</v>
      </c>
      <c r="L24" s="464">
        <f>IF(ISBLANK(LOOKUP($C$8,'Tax Rates'!$A$3:$A$406,'Tax Rates'!$AW$3:$AW$406)),0,LOOKUP($C$8,'Tax Rates'!$A$3:$A$406,'Tax Rates'!$AW$3:$AW$406))</f>
        <v>0</v>
      </c>
      <c r="M24" s="1"/>
      <c r="N24" s="1"/>
    </row>
    <row r="25" spans="1:14" ht="11.25" customHeight="1" x14ac:dyDescent="0.2">
      <c r="A25" s="1">
        <v>3</v>
      </c>
      <c r="B25" s="1">
        <f>$B$9</f>
        <v>0</v>
      </c>
      <c r="C25" s="464">
        <f>IF(ISBLANK(LOOKUP($C$9,'Tax Rates'!$A$3:$A$406,'Tax Rates'!$D$3:$D$406)),0,LOOKUP($C$9,'Tax Rates'!$A$3:$A$406,'Tax Rates'!$D$3:$D$406))</f>
        <v>0</v>
      </c>
      <c r="D25" s="464">
        <f>IF(ISBLANK(LOOKUP($C$9,'Tax Rates'!$A$3:$A$406,'Tax Rates'!$I$3:$I$406)),0,LOOKUP($C$9,'Tax Rates'!$A$3:$A$406,'Tax Rates'!$I$3:$I$406))</f>
        <v>0</v>
      </c>
      <c r="E25" s="464">
        <f>IF(ISBLANK(LOOKUP($C$9,'Tax Rates'!$A$3:$A$406,'Tax Rates'!$N$3:$N$406)),0,LOOKUP($C$9,'Tax Rates'!$A$3:$A$406,'Tax Rates'!$N$3:$N$406))</f>
        <v>0</v>
      </c>
      <c r="F25" s="464">
        <f>IF(ISBLANK(LOOKUP($C$9,'Tax Rates'!$A$3:$A$406,'Tax Rates'!$S$3:$S$406)),0,LOOKUP($C$9,'Tax Rates'!$A$3:$A$406,'Tax Rates'!$S$3:$S$406))</f>
        <v>0</v>
      </c>
      <c r="G25" s="464">
        <f>IF(ISBLANK(LOOKUP($C$9,'Tax Rates'!$A$3:$A$406,'Tax Rates'!$X$3:$X$406)),0,LOOKUP($C$9,'Tax Rates'!$A$3:$A$406,'Tax Rates'!$X$3:$X$406))</f>
        <v>0</v>
      </c>
      <c r="H25" s="464">
        <f>IF(ISBLANK(LOOKUP($C$9,'Tax Rates'!$A$3:$A$406,'Tax Rates'!$AC$3:$AC$406)),0,LOOKUP($C$9,'Tax Rates'!$A$3:$A$406,'Tax Rates'!$AC$3:$AC$406))</f>
        <v>0</v>
      </c>
      <c r="I25" s="464">
        <f>IF(ISBLANK(LOOKUP($C$9,'Tax Rates'!$A$3:$A$406,'Tax Rates'!$AH$3:$AH$406)),0,LOOKUP($C$9,'Tax Rates'!$A$3:$A$406,'Tax Rates'!$AH$3:$AH$406))</f>
        <v>0</v>
      </c>
      <c r="J25" s="464">
        <f>IF(ISBLANK(LOOKUP($C$9,'Tax Rates'!$A$3:$A$406,'Tax Rates'!$AM$3:$AM$406)),0,LOOKUP($C$9,'Tax Rates'!$A$3:$A$406,'Tax Rates'!$AM$3:$AM$406))</f>
        <v>0</v>
      </c>
      <c r="K25" s="464">
        <f>IF(ISBLANK(LOOKUP($C$9,'Tax Rates'!$A$3:$A$406,'Tax Rates'!$AR$3:$AR$406)),0,LOOKUP($C$9,'Tax Rates'!$A$3:$A$406,'Tax Rates'!$AR$3:$AR$406))</f>
        <v>0</v>
      </c>
      <c r="L25" s="464">
        <f>IF(ISBLANK(LOOKUP($C$9,'Tax Rates'!$A$3:$A$406,'Tax Rates'!$AW$3:$AW$406)),0,LOOKUP($C$9,'Tax Rates'!$A$3:$A$406,'Tax Rates'!$AW$3:$AW$406))</f>
        <v>0</v>
      </c>
      <c r="M25" s="1"/>
      <c r="N25" s="1"/>
    </row>
    <row r="26" spans="1:14" ht="11.25" customHeight="1" x14ac:dyDescent="0.2">
      <c r="A26" s="1">
        <v>4</v>
      </c>
      <c r="B26" s="1">
        <f>$B$10</f>
        <v>0</v>
      </c>
      <c r="C26" s="464">
        <f>IF(ISBLANK(LOOKUP($C$10,'Tax Rates'!$A$3:$A$406,'Tax Rates'!$D$3:$D$406)),0,LOOKUP($C$10,'Tax Rates'!$A$3:$A$406,'Tax Rates'!$D$3:$D$406))</f>
        <v>0</v>
      </c>
      <c r="D26" s="464">
        <f>IF(ISBLANK(LOOKUP($C$10,'Tax Rates'!$A$3:$A$406,'Tax Rates'!$I$3:$I$406)),0,LOOKUP($C$10,'Tax Rates'!$A$3:$A$406,'Tax Rates'!$I$3:$I$406))</f>
        <v>0</v>
      </c>
      <c r="E26" s="464">
        <f>IF(ISBLANK(LOOKUP($C$10,'Tax Rates'!$A$3:$A$406,'Tax Rates'!$N$3:$N$406)),0,LOOKUP($C$10,'Tax Rates'!$A$3:$A$406,'Tax Rates'!$N$3:$N$406))</f>
        <v>0</v>
      </c>
      <c r="F26" s="464">
        <f>IF(ISBLANK(LOOKUP($C$10,'Tax Rates'!$A$3:$A$406,'Tax Rates'!$S$3:$S$406)),0,LOOKUP($C$10,'Tax Rates'!$A$3:$A$406,'Tax Rates'!$S$3:$S$406))</f>
        <v>0</v>
      </c>
      <c r="G26" s="464">
        <f>IF(ISBLANK(LOOKUP($C$10,'Tax Rates'!$A$3:$A$406,'Tax Rates'!$X$3:$X$406)),0,LOOKUP($C$10,'Tax Rates'!$A$3:$A$406,'Tax Rates'!$X$3:$X$406))</f>
        <v>0</v>
      </c>
      <c r="H26" s="464">
        <f>IF(ISBLANK(LOOKUP($C$10,'Tax Rates'!$A$3:$A$406,'Tax Rates'!$AC$3:$AC$406)),0,LOOKUP($C$10,'Tax Rates'!$A$3:$A$406,'Tax Rates'!$AC$3:$AC$406))</f>
        <v>0</v>
      </c>
      <c r="I26" s="464">
        <f>IF(ISBLANK(LOOKUP($C$10,'Tax Rates'!$A$3:$A$406,'Tax Rates'!$AH$3:$AH$406)),0,LOOKUP($C$10,'Tax Rates'!$A$3:$A$406,'Tax Rates'!$AH$3:$AH$406))</f>
        <v>0</v>
      </c>
      <c r="J26" s="464">
        <f>IF(ISBLANK(LOOKUP($C$10,'Tax Rates'!$A$3:$A$406,'Tax Rates'!$AM$3:$AM$406)),0,LOOKUP($C$10,'Tax Rates'!$A$3:$A$406,'Tax Rates'!$AM$3:$AM$406))</f>
        <v>0</v>
      </c>
      <c r="K26" s="464">
        <f>IF(ISBLANK(LOOKUP($C$10,'Tax Rates'!$A$3:$A$406,'Tax Rates'!$AR$3:$AR$406)),0,LOOKUP($C$10,'Tax Rates'!$A$3:$A$406,'Tax Rates'!$AR$3:$AR$406))</f>
        <v>0</v>
      </c>
      <c r="L26" s="464">
        <f>IF(ISBLANK(LOOKUP($C$10,'Tax Rates'!$A$3:$A$406,'Tax Rates'!$AW$3:$AW$406)),0,LOOKUP($C$10,'Tax Rates'!$A$3:$A$406,'Tax Rates'!$AW$3:$AW$406))</f>
        <v>0</v>
      </c>
      <c r="M26" s="1"/>
      <c r="N26" s="1"/>
    </row>
    <row r="27" spans="1:14" ht="11.25" customHeight="1" x14ac:dyDescent="0.2">
      <c r="A27" s="1">
        <v>5</v>
      </c>
      <c r="B27" s="1">
        <f>$B$11</f>
        <v>0</v>
      </c>
      <c r="C27" s="464">
        <f>IF(ISBLANK(LOOKUP($C$11,'Tax Rates'!$A$3:$A$406,'Tax Rates'!$D$3:$D$406)),0,LOOKUP($C$11,'Tax Rates'!$A$3:$A$406,'Tax Rates'!$D$3:$D$406))</f>
        <v>0</v>
      </c>
      <c r="D27" s="464">
        <f>IF(ISBLANK(LOOKUP($C$11,'Tax Rates'!$A$3:$A$406,'Tax Rates'!$I$3:$I$406)),0,LOOKUP($C$11,'Tax Rates'!$A$3:$A$406,'Tax Rates'!$I$3:$I$406))</f>
        <v>0</v>
      </c>
      <c r="E27" s="464">
        <f>IF(ISBLANK(LOOKUP($C$11,'Tax Rates'!$A$3:$A$406,'Tax Rates'!$N$3:$N$406)),0,LOOKUP($C$11,'Tax Rates'!$A$3:$A$406,'Tax Rates'!$N$3:$N$406))</f>
        <v>0</v>
      </c>
      <c r="F27" s="464">
        <f>IF(ISBLANK(LOOKUP($C$11,'Tax Rates'!$A$3:$A$406,'Tax Rates'!$S$3:$S$406)),0,LOOKUP($C$11,'Tax Rates'!$A$3:$A$406,'Tax Rates'!$S$3:$S$406))</f>
        <v>0</v>
      </c>
      <c r="G27" s="464">
        <f>IF(ISBLANK(LOOKUP($C$11,'Tax Rates'!$A$3:$A$406,'Tax Rates'!$X$3:$X$406)),0,LOOKUP($C$11,'Tax Rates'!$A$3:$A$406,'Tax Rates'!$X$3:$X$406))</f>
        <v>0</v>
      </c>
      <c r="H27" s="464">
        <f>IF(ISBLANK(LOOKUP($C$11,'Tax Rates'!$A$3:$A$406,'Tax Rates'!$AC$3:$AC$406)),0,LOOKUP($C$11,'Tax Rates'!$A$3:$A$406,'Tax Rates'!$AC$3:$AC$406))</f>
        <v>0</v>
      </c>
      <c r="I27" s="464">
        <f>IF(ISBLANK(LOOKUP($C$11,'Tax Rates'!$A$3:$A$406,'Tax Rates'!$AH$3:$AH$406)),0,LOOKUP($C$11,'Tax Rates'!$A$3:$A$406,'Tax Rates'!$AH$3:$AH$406))</f>
        <v>0</v>
      </c>
      <c r="J27" s="464">
        <f>IF(ISBLANK(LOOKUP($C$11,'Tax Rates'!$A$3:$A$406,'Tax Rates'!$AM$3:$AM$406)),0,LOOKUP($C$11,'Tax Rates'!$A$3:$A$406,'Tax Rates'!$AM$3:$AM$406))</f>
        <v>0</v>
      </c>
      <c r="K27" s="464">
        <f>IF(ISBLANK(LOOKUP($C$11,'Tax Rates'!$A$3:$A$406,'Tax Rates'!$AR$3:$AR$406)),0,LOOKUP($C$11,'Tax Rates'!$A$3:$A$406,'Tax Rates'!$AR$3:$AR$406))</f>
        <v>0</v>
      </c>
      <c r="L27" s="464">
        <f>IF(ISBLANK(LOOKUP($C$11,'Tax Rates'!$A$3:$A$406,'Tax Rates'!$AW$3:$AW$406)),0,LOOKUP($C$11,'Tax Rates'!$A$3:$A$406,'Tax Rates'!$AW$3:$AW$406))</f>
        <v>0</v>
      </c>
      <c r="M27" s="1"/>
      <c r="N27" s="1"/>
    </row>
    <row r="29" spans="1:14" s="368" customFormat="1" ht="11.25" customHeight="1" x14ac:dyDescent="0.2">
      <c r="B29" s="368" t="s">
        <v>255</v>
      </c>
    </row>
    <row r="30" spans="1:14" ht="11.25" customHeight="1" x14ac:dyDescent="0.2">
      <c r="A30" s="368"/>
      <c r="B30" s="368" t="s">
        <v>491</v>
      </c>
      <c r="C30" s="364" t="s">
        <v>803</v>
      </c>
      <c r="D30" s="364" t="s">
        <v>804</v>
      </c>
      <c r="E30" s="364" t="s">
        <v>805</v>
      </c>
      <c r="F30" s="364" t="s">
        <v>806</v>
      </c>
      <c r="G30" s="364" t="s">
        <v>807</v>
      </c>
      <c r="H30" s="364" t="s">
        <v>808</v>
      </c>
      <c r="I30" s="364" t="s">
        <v>249</v>
      </c>
      <c r="J30" s="364" t="s">
        <v>250</v>
      </c>
      <c r="K30" s="364" t="s">
        <v>251</v>
      </c>
      <c r="L30" s="364" t="s">
        <v>252</v>
      </c>
    </row>
    <row r="31" spans="1:14" ht="11.25" customHeight="1" x14ac:dyDescent="0.2">
      <c r="A31" s="1">
        <v>1</v>
      </c>
      <c r="B31" s="1">
        <f>$B$7</f>
        <v>0</v>
      </c>
      <c r="C31" s="464">
        <f>IF(ISBLANK(LOOKUP($C$7,'Tax Rates'!$A$3:$A$406,'Tax Rates'!$E$3:$E$406)),0,LOOKUP($C$7,'Tax Rates'!$A$3:$A$406,'Tax Rates'!$E$3:$E$406))</f>
        <v>0</v>
      </c>
      <c r="D31" s="464">
        <f>IF(ISBLANK(LOOKUP($C$7,'Tax Rates'!$A$3:$A$406,'Tax Rates'!$J$3:$J$406)),0,LOOKUP($C$7,'Tax Rates'!$A$3:$A$406,'Tax Rates'!$J$3:$J$406))</f>
        <v>0</v>
      </c>
      <c r="E31" s="464">
        <f>IF(ISBLANK(LOOKUP($C$7,'Tax Rates'!$A$3:$A$406,'Tax Rates'!$O$3:$O$406)),0,LOOKUP($C$7,'Tax Rates'!$A$3:$A$406,'Tax Rates'!$O$3:$O$406))</f>
        <v>0</v>
      </c>
      <c r="F31" s="464">
        <f>IF(ISBLANK(LOOKUP($C$7,'Tax Rates'!$A$3:$A$406,'Tax Rates'!$T$3:$T$406)),0,LOOKUP($C$7,'Tax Rates'!$A$3:$A$406,'Tax Rates'!$T$3:$T$406))</f>
        <v>0</v>
      </c>
      <c r="G31" s="464">
        <f>IF(ISBLANK(LOOKUP($C$7,'Tax Rates'!$A$3:$A$406,'Tax Rates'!$Y$3:$Y$406)),0,LOOKUP($C$7,'Tax Rates'!$A$3:$A$406,'Tax Rates'!$Y$3:$Y$406))</f>
        <v>0</v>
      </c>
      <c r="H31" s="464">
        <f>IF(ISBLANK(LOOKUP($C$7,'Tax Rates'!$A$3:$A$406,'Tax Rates'!$AD$3:$AD$406)),0,LOOKUP($C$7,'Tax Rates'!$A$3:$A$406,'Tax Rates'!$AD$3:$AD$406))</f>
        <v>0</v>
      </c>
      <c r="I31" s="464">
        <f>IF(ISBLANK(LOOKUP($C$7,'Tax Rates'!$A$3:$A$406,'Tax Rates'!$AI$3:$AI$406)),0,LOOKUP($C$7,'Tax Rates'!$A$3:$A$406,'Tax Rates'!$AI$3:$AI$406))</f>
        <v>0</v>
      </c>
      <c r="J31" s="464">
        <f>IF(ISBLANK(LOOKUP($C$7,'Tax Rates'!$A$3:$A$406,'Tax Rates'!$AN$3:$AN$406)),0,LOOKUP($C$7,'Tax Rates'!$A$3:$A$406,'Tax Rates'!$AN$3:$AN$406))</f>
        <v>0</v>
      </c>
      <c r="K31" s="464">
        <f>IF(ISBLANK(LOOKUP($C$7,'Tax Rates'!$A$3:$A$406,'Tax Rates'!$AS$3:$AS$406)),0,LOOKUP($C$7,'Tax Rates'!$A$3:$A$406,'Tax Rates'!$AS$3:$AS$406))</f>
        <v>0</v>
      </c>
      <c r="L31" s="464">
        <f>IF(ISBLANK(LOOKUP($C$7,'Tax Rates'!$A$3:$A$406,'Tax Rates'!$AX$3:$AX$406)),0,LOOKUP($C$7,'Tax Rates'!$A$3:$A$406,'Tax Rates'!$AX$3:$AX$406))</f>
        <v>0</v>
      </c>
    </row>
    <row r="32" spans="1:14" ht="11.25" customHeight="1" x14ac:dyDescent="0.2">
      <c r="A32" s="1">
        <v>2</v>
      </c>
      <c r="B32" s="1">
        <f>$B$8</f>
        <v>0</v>
      </c>
      <c r="C32" s="464">
        <f>IF(ISBLANK(LOOKUP($C$8,'Tax Rates'!$A$3:$A$406,'Tax Rates'!$E$3:$E$406)),0,LOOKUP($C$8,'Tax Rates'!$A$3:$A$406,'Tax Rates'!$E$3:$E$406))</f>
        <v>0</v>
      </c>
      <c r="D32" s="464">
        <f>IF(ISBLANK(LOOKUP($C$8,'Tax Rates'!$A$3:$A$406,'Tax Rates'!$J$3:$J$406)),0,LOOKUP($C$8,'Tax Rates'!$A$3:$A$406,'Tax Rates'!$J$3:$J$406))</f>
        <v>0</v>
      </c>
      <c r="E32" s="464">
        <f>IF(ISBLANK(LOOKUP($C$8,'Tax Rates'!$A$3:$A$406,'Tax Rates'!$O$3:$O$406)),0,LOOKUP($C$8,'Tax Rates'!$A$3:$A$406,'Tax Rates'!$O$3:$O$406))</f>
        <v>0</v>
      </c>
      <c r="F32" s="464">
        <f>IF(ISBLANK(LOOKUP($C$8,'Tax Rates'!$A$3:$A$406,'Tax Rates'!$T$3:$T$406)),0,LOOKUP($C$8,'Tax Rates'!$A$3:$A$406,'Tax Rates'!$T$3:$T$406))</f>
        <v>0</v>
      </c>
      <c r="G32" s="464">
        <f>IF(ISBLANK(LOOKUP($C$8,'Tax Rates'!$A$3:$A$406,'Tax Rates'!$Y$3:$Y$406)),0,LOOKUP($C$8,'Tax Rates'!$A$3:$A$406,'Tax Rates'!$Y$3:$Y$406))</f>
        <v>0</v>
      </c>
      <c r="H32" s="464">
        <f>IF(ISBLANK(LOOKUP($C$8,'Tax Rates'!$A$3:$A$406,'Tax Rates'!$AD$3:$AD$406)),0,LOOKUP($C$8,'Tax Rates'!$A$3:$A$406,'Tax Rates'!$AD$3:$AD$406))</f>
        <v>0</v>
      </c>
      <c r="I32" s="464">
        <f>IF(ISBLANK(LOOKUP($C$8,'Tax Rates'!$A$3:$A$406,'Tax Rates'!$AI$3:$AI$406)),0,LOOKUP($C$8,'Tax Rates'!$A$3:$A$406,'Tax Rates'!$AI$3:$AI$406))</f>
        <v>0</v>
      </c>
      <c r="J32" s="464">
        <f>IF(ISBLANK(LOOKUP($C$8,'Tax Rates'!$A$3:$A$406,'Tax Rates'!$AN$3:$AN$406)),0,LOOKUP($C$8,'Tax Rates'!$A$3:$A$406,'Tax Rates'!$AN$3:$AN$406))</f>
        <v>0</v>
      </c>
      <c r="K32" s="464">
        <f>IF(ISBLANK(LOOKUP($C$8,'Tax Rates'!$A$3:$A$406,'Tax Rates'!$AS$3:$AS$406)),0,LOOKUP($C$8,'Tax Rates'!$A$3:$A$406,'Tax Rates'!$AS$3:$AS$406))</f>
        <v>0</v>
      </c>
      <c r="L32" s="464">
        <f>IF(ISBLANK(LOOKUP($C$8,'Tax Rates'!$A$3:$A$406,'Tax Rates'!$AX$3:$AX$406)),0,LOOKUP($C$8,'Tax Rates'!$A$3:$A$406,'Tax Rates'!$AX$3:$AX$406))</f>
        <v>0</v>
      </c>
    </row>
    <row r="33" spans="1:12" ht="11.25" customHeight="1" x14ac:dyDescent="0.2">
      <c r="A33" s="1">
        <v>3</v>
      </c>
      <c r="B33" s="1">
        <f>$B$9</f>
        <v>0</v>
      </c>
      <c r="C33" s="464">
        <f>IF(ISBLANK(LOOKUP($C$9,'Tax Rates'!$A$3:$A$406,'Tax Rates'!$E$3:$E$406)),0,LOOKUP($C$9,'Tax Rates'!$A$3:$A$406,'Tax Rates'!$E$3:$E$406))</f>
        <v>0</v>
      </c>
      <c r="D33" s="464">
        <f>IF(ISBLANK(LOOKUP($C$9,'Tax Rates'!$A$3:$A$406,'Tax Rates'!$J$3:$J$406)),0,LOOKUP($C$9,'Tax Rates'!$A$3:$A$406,'Tax Rates'!$J$3:$J$406))</f>
        <v>0</v>
      </c>
      <c r="E33" s="464">
        <f>IF(ISBLANK(LOOKUP($C$9,'Tax Rates'!$A$3:$A$406,'Tax Rates'!$O$3:$O$406)),0,LOOKUP($C$9,'Tax Rates'!$A$3:$A$406,'Tax Rates'!$O$3:$O$406))</f>
        <v>0</v>
      </c>
      <c r="F33" s="464">
        <f>IF(ISBLANK(LOOKUP($C$9,'Tax Rates'!$A$3:$A$406,'Tax Rates'!$T$3:$T$406)),0,LOOKUP($C$9,'Tax Rates'!$A$3:$A$406,'Tax Rates'!$T$3:$T$406))</f>
        <v>0</v>
      </c>
      <c r="G33" s="464">
        <f>IF(ISBLANK(LOOKUP($C$9,'Tax Rates'!$A$3:$A$406,'Tax Rates'!$Y$3:$Y$406)),0,LOOKUP($C$9,'Tax Rates'!$A$3:$A$406,'Tax Rates'!$Y$3:$Y$406))</f>
        <v>0</v>
      </c>
      <c r="H33" s="464">
        <f>IF(ISBLANK(LOOKUP($C$9,'Tax Rates'!$A$3:$A$406,'Tax Rates'!$AD$3:$AD$406)),0,LOOKUP($C$9,'Tax Rates'!$A$3:$A$406,'Tax Rates'!$AD$3:$AD$406))</f>
        <v>0</v>
      </c>
      <c r="I33" s="464">
        <f>IF(ISBLANK(LOOKUP($C$9,'Tax Rates'!$A$3:$A$406,'Tax Rates'!$AI$3:$AI$406)),0,LOOKUP($C$9,'Tax Rates'!$A$3:$A$406,'Tax Rates'!$AI$3:$AI$406))</f>
        <v>0</v>
      </c>
      <c r="J33" s="464">
        <f>IF(ISBLANK(LOOKUP($C$9,'Tax Rates'!$A$3:$A$406,'Tax Rates'!$AN$3:$AN$406)),0,LOOKUP($C$9,'Tax Rates'!$A$3:$A$406,'Tax Rates'!$AN$3:$AN$406))</f>
        <v>0</v>
      </c>
      <c r="K33" s="464">
        <f>IF(ISBLANK(LOOKUP($C$9,'Tax Rates'!$A$3:$A$406,'Tax Rates'!$AS$3:$AS$406)),0,LOOKUP($C$9,'Tax Rates'!$A$3:$A$406,'Tax Rates'!$AS$3:$AS$406))</f>
        <v>0</v>
      </c>
      <c r="L33" s="464">
        <f>IF(ISBLANK(LOOKUP($C$9,'Tax Rates'!$A$3:$A$406,'Tax Rates'!$AX$3:$AX$406)),0,LOOKUP($C$9,'Tax Rates'!$A$3:$A$406,'Tax Rates'!$AX$3:$AX$406))</f>
        <v>0</v>
      </c>
    </row>
    <row r="34" spans="1:12" ht="11.25" customHeight="1" x14ac:dyDescent="0.2">
      <c r="A34" s="1">
        <v>4</v>
      </c>
      <c r="B34" s="1">
        <f>$B$10</f>
        <v>0</v>
      </c>
      <c r="C34" s="464">
        <f>IF(ISBLANK(LOOKUP($C$10,'Tax Rates'!$A$3:$A$406,'Tax Rates'!$E$3:$E$406)),0,LOOKUP($C$10,'Tax Rates'!$A$3:$A$406,'Tax Rates'!$E$3:$E$406))</f>
        <v>0</v>
      </c>
      <c r="D34" s="464">
        <f>IF(ISBLANK(LOOKUP($C$10,'Tax Rates'!$A$3:$A$406,'Tax Rates'!$J$3:$J$406)),0,LOOKUP($C$10,'Tax Rates'!$A$3:$A$406,'Tax Rates'!$J$3:$J$406))</f>
        <v>0</v>
      </c>
      <c r="E34" s="464">
        <f>IF(ISBLANK(LOOKUP($C$10,'Tax Rates'!$A$3:$A$406,'Tax Rates'!$O$3:$O$406)),0,LOOKUP($C$10,'Tax Rates'!$A$3:$A$406,'Tax Rates'!$O$3:$O$406))</f>
        <v>0</v>
      </c>
      <c r="F34" s="464">
        <f>IF(ISBLANK(LOOKUP($C$10,'Tax Rates'!$A$3:$A$406,'Tax Rates'!$T$3:$T$406)),0,LOOKUP($C$10,'Tax Rates'!$A$3:$A$406,'Tax Rates'!$T$3:$T$406))</f>
        <v>0</v>
      </c>
      <c r="G34" s="464">
        <f>IF(ISBLANK(LOOKUP($C$10,'Tax Rates'!$A$3:$A$406,'Tax Rates'!$Y$3:$Y$406)),0,LOOKUP($C$10,'Tax Rates'!$A$3:$A$406,'Tax Rates'!$Y$3:$Y$406))</f>
        <v>0</v>
      </c>
      <c r="H34" s="464">
        <f>IF(ISBLANK(LOOKUP($C$10,'Tax Rates'!$A$3:$A$406,'Tax Rates'!$AD$3:$AD$406)),0,LOOKUP($C$10,'Tax Rates'!$A$3:$A$406,'Tax Rates'!$AD$3:$AD$406))</f>
        <v>0</v>
      </c>
      <c r="I34" s="464">
        <f>IF(ISBLANK(LOOKUP($C$10,'Tax Rates'!$A$3:$A$406,'Tax Rates'!$AI$3:$AI$406)),0,LOOKUP($C$10,'Tax Rates'!$A$3:$A$406,'Tax Rates'!$AI$3:$AI$406))</f>
        <v>0</v>
      </c>
      <c r="J34" s="464">
        <f>IF(ISBLANK(LOOKUP($C$10,'Tax Rates'!$A$3:$A$406,'Tax Rates'!$AN$3:$AN$406)),0,LOOKUP($C$10,'Tax Rates'!$A$3:$A$406,'Tax Rates'!$AN$3:$AN$406))</f>
        <v>0</v>
      </c>
      <c r="K34" s="464">
        <f>IF(ISBLANK(LOOKUP($C$10,'Tax Rates'!$A$3:$A$406,'Tax Rates'!$AS$3:$AS$406)),0,LOOKUP($C$10,'Tax Rates'!$A$3:$A$406,'Tax Rates'!$AS$3:$AS$406))</f>
        <v>0</v>
      </c>
      <c r="L34" s="464">
        <f>IF(ISBLANK(LOOKUP($C$10,'Tax Rates'!$A$3:$A$406,'Tax Rates'!$AX$3:$AX$406)),0,LOOKUP($C$10,'Tax Rates'!$A$3:$A$406,'Tax Rates'!$AX$3:$AX$406))</f>
        <v>0</v>
      </c>
    </row>
    <row r="35" spans="1:12" ht="11.25" customHeight="1" x14ac:dyDescent="0.2">
      <c r="A35" s="1">
        <v>5</v>
      </c>
      <c r="B35" s="1">
        <f>$B$11</f>
        <v>0</v>
      </c>
      <c r="C35" s="464">
        <f>IF(ISBLANK(LOOKUP($C$11,'Tax Rates'!$A$3:$A$406,'Tax Rates'!$E$3:$E$406)),0,LOOKUP($C$11,'Tax Rates'!$A$3:$A$406,'Tax Rates'!$E$3:$E$406))</f>
        <v>0</v>
      </c>
      <c r="D35" s="464">
        <f>IF(ISBLANK(LOOKUP($C$11,'Tax Rates'!$A$3:$A$406,'Tax Rates'!$J$3:$J$406)),0,LOOKUP($C$11,'Tax Rates'!$A$3:$A$406,'Tax Rates'!$J$3:$J$406))</f>
        <v>0</v>
      </c>
      <c r="E35" s="464">
        <f>IF(ISBLANK(LOOKUP($C$11,'Tax Rates'!$A$3:$A$406,'Tax Rates'!$O$3:$O$406)),0,LOOKUP($C$11,'Tax Rates'!$A$3:$A$406,'Tax Rates'!$O$3:$O$406))</f>
        <v>0</v>
      </c>
      <c r="F35" s="464">
        <f>IF(ISBLANK(LOOKUP($C$11,'Tax Rates'!$A$3:$A$406,'Tax Rates'!$T$3:$T$406)),0,LOOKUP($C$11,'Tax Rates'!$A$3:$A$406,'Tax Rates'!$T$3:$T$406))</f>
        <v>0</v>
      </c>
      <c r="G35" s="464">
        <f>IF(ISBLANK(LOOKUP($C$11,'Tax Rates'!$A$3:$A$406,'Tax Rates'!$Y$3:$Y$406)),0,LOOKUP($C$11,'Tax Rates'!$A$3:$A$406,'Tax Rates'!$Y$3:$Y$406))</f>
        <v>0</v>
      </c>
      <c r="H35" s="464">
        <f>IF(ISBLANK(LOOKUP($C$11,'Tax Rates'!$A$3:$A$406,'Tax Rates'!$AD$3:$AD$406)),0,LOOKUP($C$11,'Tax Rates'!$A$3:$A$406,'Tax Rates'!$AD$3:$AD$406))</f>
        <v>0</v>
      </c>
      <c r="I35" s="464">
        <f>IF(ISBLANK(LOOKUP($C$11,'Tax Rates'!$A$3:$A$406,'Tax Rates'!$AI$3:$AI$406)),0,LOOKUP($C$11,'Tax Rates'!$A$3:$A$406,'Tax Rates'!$AI$3:$AI$406))</f>
        <v>0</v>
      </c>
      <c r="J35" s="464">
        <f>IF(ISBLANK(LOOKUP($C$11,'Tax Rates'!$A$3:$A$406,'Tax Rates'!$AN$3:$AN$406)),0,LOOKUP($C$11,'Tax Rates'!$A$3:$A$406,'Tax Rates'!$AN$3:$AN$406))</f>
        <v>0</v>
      </c>
      <c r="K35" s="464">
        <f>IF(ISBLANK(LOOKUP($C$11,'Tax Rates'!$A$3:$A$406,'Tax Rates'!$AS$3:$AS$406)),0,LOOKUP($C$11,'Tax Rates'!$A$3:$A$406,'Tax Rates'!$AS$3:$AS$406))</f>
        <v>0</v>
      </c>
      <c r="L35" s="464">
        <f>IF(ISBLANK(LOOKUP($C$11,'Tax Rates'!$A$3:$A$406,'Tax Rates'!$AX$3:$AX$406)),0,LOOKUP($C$11,'Tax Rates'!$A$3:$A$406,'Tax Rates'!$AX$3:$AX$406))</f>
        <v>0</v>
      </c>
    </row>
    <row r="37" spans="1:12" s="368" customFormat="1" ht="11.25" customHeight="1" x14ac:dyDescent="0.2">
      <c r="B37" s="368" t="s">
        <v>256</v>
      </c>
    </row>
    <row r="38" spans="1:12" ht="11.25" customHeight="1" x14ac:dyDescent="0.2">
      <c r="A38" s="368"/>
      <c r="B38" s="368" t="s">
        <v>491</v>
      </c>
      <c r="C38" s="364" t="s">
        <v>793</v>
      </c>
      <c r="D38" s="364" t="s">
        <v>794</v>
      </c>
      <c r="E38" s="364" t="s">
        <v>795</v>
      </c>
      <c r="F38" s="364" t="s">
        <v>796</v>
      </c>
      <c r="G38" s="364" t="s">
        <v>797</v>
      </c>
      <c r="H38" s="364" t="s">
        <v>798</v>
      </c>
      <c r="I38" s="364" t="s">
        <v>799</v>
      </c>
      <c r="J38" s="364" t="s">
        <v>800</v>
      </c>
      <c r="K38" s="364" t="s">
        <v>801</v>
      </c>
      <c r="L38" s="364" t="s">
        <v>802</v>
      </c>
    </row>
    <row r="39" spans="1:12" ht="11.25" customHeight="1" x14ac:dyDescent="0.2">
      <c r="A39" s="1">
        <v>1</v>
      </c>
      <c r="B39" s="1">
        <f>$B$7</f>
        <v>0</v>
      </c>
      <c r="C39" s="464">
        <f>IF(ISBLANK(LOOKUP($C$7,'Tax Rates'!$A$3:$A$406,'Tax Rates'!$F$3:$F$406)),0,LOOKUP($C$7,'Tax Rates'!$A$3:$A$406,'Tax Rates'!$F$3:$F$406))</f>
        <v>0</v>
      </c>
      <c r="D39" s="464">
        <f>IF(ISBLANK(LOOKUP($C$7,'Tax Rates'!$A$3:$A$406,'Tax Rates'!$K$3:$K$406)),0,LOOKUP($C$7,'Tax Rates'!$A$3:$A$406,'Tax Rates'!$K$3:$K$406))</f>
        <v>0</v>
      </c>
      <c r="E39" s="464">
        <f>IF(ISBLANK(LOOKUP($C$7,'Tax Rates'!$A$3:$A$406,'Tax Rates'!$P$3:$P$406)),0,LOOKUP($C$7,'Tax Rates'!$A$3:$A$406,'Tax Rates'!$P$3:$P$406))</f>
        <v>0</v>
      </c>
      <c r="F39" s="464">
        <f>IF(ISBLANK(LOOKUP($C$7,'Tax Rates'!$A$3:$A$406,'Tax Rates'!$U$3:$U$406)),0,LOOKUP($C$7,'Tax Rates'!$A$3:$A$406,'Tax Rates'!$U$3:$U$406))</f>
        <v>0</v>
      </c>
      <c r="G39" s="464">
        <f>IF(ISBLANK(LOOKUP($C$7,'Tax Rates'!$A$3:$A$406,'Tax Rates'!$Z$3:$Z$406)),0,LOOKUP($C$7,'Tax Rates'!$A$3:$A$406,'Tax Rates'!$Z$3:$Z$406))</f>
        <v>0</v>
      </c>
      <c r="H39" s="464">
        <f>IF(ISBLANK(LOOKUP($C$7,'Tax Rates'!$A$3:$A$406,'Tax Rates'!$AE$3:$AE$406)),0,LOOKUP($C$7,'Tax Rates'!$A$3:$A$406,'Tax Rates'!$AE$3:$AE$406))</f>
        <v>0</v>
      </c>
      <c r="I39" s="464">
        <f>IF(ISBLANK(LOOKUP($C$7,'Tax Rates'!$A$3:$A$406,'Tax Rates'!$AJ$3:$AJ$406)),0,LOOKUP($C$7,'Tax Rates'!$A$3:$A$406,'Tax Rates'!$AJ$3:$AJ$406))</f>
        <v>0</v>
      </c>
      <c r="J39" s="464">
        <f>IF(ISBLANK(LOOKUP($C$7,'Tax Rates'!$A$3:$A$406,'Tax Rates'!$AO$3:$AO$406)),0,LOOKUP($C$7,'Tax Rates'!$A$3:$A$406,'Tax Rates'!$AO$3:$AO$406))</f>
        <v>0</v>
      </c>
      <c r="K39" s="464">
        <f>IF(ISBLANK(LOOKUP($C$7,'Tax Rates'!$A$3:$A$406,'Tax Rates'!$AT$3:$AT$406)),0,LOOKUP($C$7,'Tax Rates'!$A$3:$A$406,'Tax Rates'!$AT$3:$AT$406))</f>
        <v>0</v>
      </c>
      <c r="L39" s="464">
        <f>IF(ISBLANK(LOOKUP($C$7,'Tax Rates'!$A$3:$A$406,'Tax Rates'!$AY$3:$AY$406)),0,LOOKUP($C$7,'Tax Rates'!$A$3:$A$406,'Tax Rates'!$AY$3:$AY$406))</f>
        <v>0</v>
      </c>
    </row>
    <row r="40" spans="1:12" ht="11.25" customHeight="1" x14ac:dyDescent="0.2">
      <c r="A40" s="1">
        <v>2</v>
      </c>
      <c r="B40" s="1">
        <f>$B$8</f>
        <v>0</v>
      </c>
      <c r="C40" s="464">
        <f>IF(ISBLANK(LOOKUP($C$8,'Tax Rates'!$A$3:$A$406,'Tax Rates'!$F$3:$F$406)),0,LOOKUP($C$8,'Tax Rates'!$A$3:$A$406,'Tax Rates'!$F$3:$F$406))</f>
        <v>0</v>
      </c>
      <c r="D40" s="464">
        <f>IF(ISBLANK(LOOKUP($C$8,'Tax Rates'!$A$3:$A$406,'Tax Rates'!$K$3:$K$406)),0,LOOKUP($C$8,'Tax Rates'!$A$3:$A$406,'Tax Rates'!$K$3:$K$406))</f>
        <v>0</v>
      </c>
      <c r="E40" s="464">
        <f>IF(ISBLANK(LOOKUP($C$8,'Tax Rates'!$A$3:$A$406,'Tax Rates'!$P$3:$P$406)),0,LOOKUP($C$8,'Tax Rates'!$A$3:$A$406,'Tax Rates'!$P$3:$P$406))</f>
        <v>0</v>
      </c>
      <c r="F40" s="464">
        <f>IF(ISBLANK(LOOKUP($C$8,'Tax Rates'!$A$3:$A$406,'Tax Rates'!$U$3:$U$406)),0,LOOKUP($C$8,'Tax Rates'!$A$3:$A$406,'Tax Rates'!$U$3:$U$406))</f>
        <v>0</v>
      </c>
      <c r="G40" s="464">
        <f>IF(ISBLANK(LOOKUP($C$8,'Tax Rates'!$A$3:$A$406,'Tax Rates'!$Z$3:$Z$406)),0,LOOKUP($C$8,'Tax Rates'!$A$3:$A$406,'Tax Rates'!$Z$3:$Z$406))</f>
        <v>0</v>
      </c>
      <c r="H40" s="464">
        <f>IF(ISBLANK(LOOKUP($C$8,'Tax Rates'!$A$3:$A$406,'Tax Rates'!$AE$3:$AE$406)),0,LOOKUP($C$8,'Tax Rates'!$A$3:$A$406,'Tax Rates'!$AE$3:$AE$406))</f>
        <v>0</v>
      </c>
      <c r="I40" s="464">
        <f>IF(ISBLANK(LOOKUP($C$8,'Tax Rates'!$A$3:$A$406,'Tax Rates'!$AJ$3:$AJ$406)),0,LOOKUP($C$8,'Tax Rates'!$A$3:$A$406,'Tax Rates'!$AJ$3:$AJ$406))</f>
        <v>0</v>
      </c>
      <c r="J40" s="464">
        <f>IF(ISBLANK(LOOKUP($C$8,'Tax Rates'!$A$3:$A$406,'Tax Rates'!$AO$3:$AO$406)),0,LOOKUP($C$8,'Tax Rates'!$A$3:$A$406,'Tax Rates'!$AO$3:$AO$406))</f>
        <v>0</v>
      </c>
      <c r="K40" s="464">
        <f>IF(ISBLANK(LOOKUP($C$8,'Tax Rates'!$A$3:$A$406,'Tax Rates'!$AT$3:$AT$406)),0,LOOKUP($C$8,'Tax Rates'!$A$3:$A$406,'Tax Rates'!$AT$3:$AT$406))</f>
        <v>0</v>
      </c>
      <c r="L40" s="464">
        <f>IF(ISBLANK(LOOKUP($C$8,'Tax Rates'!$A$3:$A$406,'Tax Rates'!$AY$3:$AY$406)),0,LOOKUP($C$8,'Tax Rates'!$A$3:$A$406,'Tax Rates'!$AY$3:$AY$406))</f>
        <v>0</v>
      </c>
    </row>
    <row r="41" spans="1:12" ht="11.25" customHeight="1" x14ac:dyDescent="0.2">
      <c r="A41" s="1">
        <v>3</v>
      </c>
      <c r="B41" s="1">
        <f>$B$9</f>
        <v>0</v>
      </c>
      <c r="C41" s="464">
        <f>IF(ISBLANK(LOOKUP($C$9,'Tax Rates'!$A$3:$A$406,'Tax Rates'!$F$3:$F$406)),0,LOOKUP($C$9,'Tax Rates'!$A$3:$A$406,'Tax Rates'!$F$3:$F$406))</f>
        <v>0</v>
      </c>
      <c r="D41" s="464">
        <f>IF(ISBLANK(LOOKUP($C$9,'Tax Rates'!$A$3:$A$406,'Tax Rates'!$K$3:$K$406)),0,LOOKUP($C$9,'Tax Rates'!$A$3:$A$406,'Tax Rates'!$K$3:$K$406))</f>
        <v>0</v>
      </c>
      <c r="E41" s="464">
        <f>IF(ISBLANK(LOOKUP($C$9,'Tax Rates'!$A$3:$A$406,'Tax Rates'!$P$3:$P$406)),0,LOOKUP($C$9,'Tax Rates'!$A$3:$A$406,'Tax Rates'!$P$3:$P$406))</f>
        <v>0</v>
      </c>
      <c r="F41" s="464">
        <f>IF(ISBLANK(LOOKUP($C$9,'Tax Rates'!$A$3:$A$406,'Tax Rates'!$U$3:$U$406)),0,LOOKUP($C$9,'Tax Rates'!$A$3:$A$406,'Tax Rates'!$U$3:$U$406))</f>
        <v>0</v>
      </c>
      <c r="G41" s="464">
        <f>IF(ISBLANK(LOOKUP($C$9,'Tax Rates'!$A$3:$A$406,'Tax Rates'!$Z$3:$Z$406)),0,LOOKUP($C$9,'Tax Rates'!$A$3:$A$406,'Tax Rates'!$Z$3:$Z$406))</f>
        <v>0</v>
      </c>
      <c r="H41" s="464">
        <f>IF(ISBLANK(LOOKUP($C$9,'Tax Rates'!$A$3:$A$406,'Tax Rates'!$AE$3:$AE$406)),0,LOOKUP($C$9,'Tax Rates'!$A$3:$A$406,'Tax Rates'!$AE$3:$AE$406))</f>
        <v>0</v>
      </c>
      <c r="I41" s="464">
        <f>IF(ISBLANK(LOOKUP($C$9,'Tax Rates'!$A$3:$A$406,'Tax Rates'!$AJ$3:$AJ$406)),0,LOOKUP($C$9,'Tax Rates'!$A$3:$A$406,'Tax Rates'!$AJ$3:$AJ$406))</f>
        <v>0</v>
      </c>
      <c r="J41" s="464">
        <f>IF(ISBLANK(LOOKUP($C$9,'Tax Rates'!$A$3:$A$406,'Tax Rates'!$AO$3:$AO$406)),0,LOOKUP($C$9,'Tax Rates'!$A$3:$A$406,'Tax Rates'!$AO$3:$AO$406))</f>
        <v>0</v>
      </c>
      <c r="K41" s="464">
        <f>IF(ISBLANK(LOOKUP($C$9,'Tax Rates'!$A$3:$A$406,'Tax Rates'!$AT$3:$AT$406)),0,LOOKUP($C$9,'Tax Rates'!$A$3:$A$406,'Tax Rates'!$AT$3:$AT$406))</f>
        <v>0</v>
      </c>
      <c r="L41" s="464">
        <f>IF(ISBLANK(LOOKUP($C$9,'Tax Rates'!$A$3:$A$406,'Tax Rates'!$AY$3:$AY$406)),0,LOOKUP($C$9,'Tax Rates'!$A$3:$A$406,'Tax Rates'!$AY$3:$AY$406))</f>
        <v>0</v>
      </c>
    </row>
    <row r="42" spans="1:12" ht="11.25" customHeight="1" x14ac:dyDescent="0.2">
      <c r="A42" s="1">
        <v>4</v>
      </c>
      <c r="B42" s="1">
        <f>$B$10</f>
        <v>0</v>
      </c>
      <c r="C42" s="464">
        <f>IF(ISBLANK(LOOKUP($C$10,'Tax Rates'!$A$3:$A$406,'Tax Rates'!$F$3:$F$406)),0,LOOKUP($C$10,'Tax Rates'!$A$3:$A$406,'Tax Rates'!$F$3:$F$406))</f>
        <v>0</v>
      </c>
      <c r="D42" s="464">
        <f>IF(ISBLANK(LOOKUP($C$10,'Tax Rates'!$A$3:$A$406,'Tax Rates'!$K$3:$K$406)),0,LOOKUP($C$10,'Tax Rates'!$A$3:$A$406,'Tax Rates'!$K$3:$K$406))</f>
        <v>0</v>
      </c>
      <c r="E42" s="464">
        <f>IF(ISBLANK(LOOKUP($C$10,'Tax Rates'!$A$3:$A$406,'Tax Rates'!$P$3:$P$406)),0,LOOKUP($C$10,'Tax Rates'!$A$3:$A$406,'Tax Rates'!$P$3:$P$406))</f>
        <v>0</v>
      </c>
      <c r="F42" s="464">
        <f>IF(ISBLANK(LOOKUP($C$10,'Tax Rates'!$A$3:$A$406,'Tax Rates'!$U$3:$U$406)),0,LOOKUP($C$10,'Tax Rates'!$A$3:$A$406,'Tax Rates'!$U$3:$U$406))</f>
        <v>0</v>
      </c>
      <c r="G42" s="464">
        <f>IF(ISBLANK(LOOKUP($C$10,'Tax Rates'!$A$3:$A$406,'Tax Rates'!$Z$3:$Z$406)),0,LOOKUP($C$10,'Tax Rates'!$A$3:$A$406,'Tax Rates'!$Z$3:$Z$406))</f>
        <v>0</v>
      </c>
      <c r="H42" s="464">
        <f>IF(ISBLANK(LOOKUP($C$10,'Tax Rates'!$A$3:$A$406,'Tax Rates'!$AE$3:$AE$406)),0,LOOKUP($C$10,'Tax Rates'!$A$3:$A$406,'Tax Rates'!$AE$3:$AE$406))</f>
        <v>0</v>
      </c>
      <c r="I42" s="464">
        <f>IF(ISBLANK(LOOKUP($C$10,'Tax Rates'!$A$3:$A$406,'Tax Rates'!$AJ$3:$AJ$406)),0,LOOKUP($C$10,'Tax Rates'!$A$3:$A$406,'Tax Rates'!$AJ$3:$AJ$406))</f>
        <v>0</v>
      </c>
      <c r="J42" s="464">
        <f>IF(ISBLANK(LOOKUP($C$10,'Tax Rates'!$A$3:$A$406,'Tax Rates'!$AO$3:$AO$406)),0,LOOKUP($C$10,'Tax Rates'!$A$3:$A$406,'Tax Rates'!$AO$3:$AO$406))</f>
        <v>0</v>
      </c>
      <c r="K42" s="464">
        <f>IF(ISBLANK(LOOKUP($C$10,'Tax Rates'!$A$3:$A$406,'Tax Rates'!$AT$3:$AT$406)),0,LOOKUP($C$10,'Tax Rates'!$A$3:$A$406,'Tax Rates'!$AT$3:$AT$406))</f>
        <v>0</v>
      </c>
      <c r="L42" s="464">
        <f>IF(ISBLANK(LOOKUP($C$10,'Tax Rates'!$A$3:$A$406,'Tax Rates'!$AY$3:$AY$406)),0,LOOKUP($C$10,'Tax Rates'!$A$3:$A$406,'Tax Rates'!$AY$3:$AY$406))</f>
        <v>0</v>
      </c>
    </row>
    <row r="43" spans="1:12" ht="11.25" customHeight="1" x14ac:dyDescent="0.2">
      <c r="A43" s="1">
        <v>5</v>
      </c>
      <c r="B43" s="1">
        <f>$B$11</f>
        <v>0</v>
      </c>
      <c r="C43" s="464">
        <f>IF(ISBLANK(LOOKUP($C$11,'Tax Rates'!$A$3:$A$406,'Tax Rates'!$F$3:$F$406)),0,LOOKUP($C$11,'Tax Rates'!$A$3:$A$406,'Tax Rates'!$F$3:$F$406))</f>
        <v>0</v>
      </c>
      <c r="D43" s="464">
        <f>IF(ISBLANK(LOOKUP($C$11,'Tax Rates'!$A$3:$A$406,'Tax Rates'!$K$3:$K$406)),0,LOOKUP($C$11,'Tax Rates'!$A$3:$A$406,'Tax Rates'!$K$3:$K$406))</f>
        <v>0</v>
      </c>
      <c r="E43" s="464">
        <f>IF(ISBLANK(LOOKUP($C$11,'Tax Rates'!$A$3:$A$406,'Tax Rates'!$P$3:$P$406)),0,LOOKUP($C$11,'Tax Rates'!$A$3:$A$406,'Tax Rates'!$P$3:$P$406))</f>
        <v>0</v>
      </c>
      <c r="F43" s="464">
        <f>IF(ISBLANK(LOOKUP($C$11,'Tax Rates'!$A$3:$A$406,'Tax Rates'!$U$3:$U$406)),0,LOOKUP($C$11,'Tax Rates'!$A$3:$A$406,'Tax Rates'!$U$3:$U$406))</f>
        <v>0</v>
      </c>
      <c r="G43" s="464">
        <f>IF(ISBLANK(LOOKUP($C$11,'Tax Rates'!$A$3:$A$406,'Tax Rates'!$Z$3:$Z$406)),0,LOOKUP($C$11,'Tax Rates'!$A$3:$A$406,'Tax Rates'!$Z$3:$Z$406))</f>
        <v>0</v>
      </c>
      <c r="H43" s="464">
        <f>IF(ISBLANK(LOOKUP($C$11,'Tax Rates'!$A$3:$A$406,'Tax Rates'!$AE$3:$AE$406)),0,LOOKUP($C$11,'Tax Rates'!$A$3:$A$406,'Tax Rates'!$AE$3:$AE$406))</f>
        <v>0</v>
      </c>
      <c r="I43" s="464">
        <f>IF(ISBLANK(LOOKUP($C$11,'Tax Rates'!$A$3:$A$406,'Tax Rates'!$AJ$3:$AJ$406)),0,LOOKUP($C$11,'Tax Rates'!$A$3:$A$406,'Tax Rates'!$AJ$3:$AJ$406))</f>
        <v>0</v>
      </c>
      <c r="J43" s="464">
        <f>IF(ISBLANK(LOOKUP($C$11,'Tax Rates'!$A$3:$A$406,'Tax Rates'!$AO$3:$AO$406)),0,LOOKUP($C$11,'Tax Rates'!$A$3:$A$406,'Tax Rates'!$AO$3:$AO$406))</f>
        <v>0</v>
      </c>
      <c r="K43" s="464">
        <f>IF(ISBLANK(LOOKUP($C$11,'Tax Rates'!$A$3:$A$406,'Tax Rates'!$AT$3:$AT$406)),0,LOOKUP($C$11,'Tax Rates'!$A$3:$A$406,'Tax Rates'!$AT$3:$AT$406))</f>
        <v>0</v>
      </c>
      <c r="L43" s="464">
        <f>IF(ISBLANK(LOOKUP($C$11,'Tax Rates'!$A$3:$A$406,'Tax Rates'!$AY$3:$AY$406)),0,LOOKUP($C$11,'Tax Rates'!$A$3:$A$406,'Tax Rates'!$AY$3:$AY$406))</f>
        <v>0</v>
      </c>
    </row>
  </sheetData>
  <sheetProtection algorithmName="SHA-512" hashValue="miHxXV94AxDIvQDqsPdaRcAuZZqGifZyjofDyQvNMXFgZloqdjZcj2tSkOqHHuIevw4CnYUHzVWAbgqePZ0U5w==" saltValue="WsPGAgGy8hIMOuu0pkfFlA==" spinCount="100000" sheet="1" objects="1" scenarios="1"/>
  <mergeCells count="1">
    <mergeCell ref="B5:C5"/>
  </mergeCells>
  <phoneticPr fontId="2" type="noConversion"/>
  <pageMargins left="0.75" right="0.75" top="1" bottom="1" header="0.5" footer="0.5"/>
  <pageSetup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3"/>
  <dimension ref="A1:AB279"/>
  <sheetViews>
    <sheetView zoomScale="90" workbookViewId="0">
      <selection activeCell="G1" sqref="G1"/>
    </sheetView>
  </sheetViews>
  <sheetFormatPr defaultRowHeight="12.75" x14ac:dyDescent="0.2"/>
  <cols>
    <col min="1" max="1" width="16" bestFit="1" customWidth="1"/>
    <col min="2" max="2" width="9.7109375" customWidth="1"/>
    <col min="3" max="3" width="15.7109375" bestFit="1" customWidth="1"/>
    <col min="4" max="4" width="11.85546875" customWidth="1"/>
    <col min="5" max="5" width="16.42578125" customWidth="1"/>
    <col min="6" max="6" width="16.28515625" customWidth="1"/>
    <col min="7" max="7" width="19.140625" customWidth="1"/>
    <col min="8" max="8" width="21.5703125" customWidth="1"/>
    <col min="9" max="10" width="15.7109375" customWidth="1"/>
    <col min="11" max="11" width="17.42578125" customWidth="1"/>
    <col min="12" max="12" width="16.28515625" customWidth="1"/>
    <col min="13" max="13" width="13.85546875" customWidth="1"/>
    <col min="14" max="14" width="6.7109375" customWidth="1"/>
    <col min="15" max="15" width="20.5703125" customWidth="1"/>
    <col min="16" max="16" width="14.85546875" customWidth="1"/>
    <col min="17" max="17" width="12.28515625" customWidth="1"/>
    <col min="18" max="18" width="13.42578125" customWidth="1"/>
    <col min="19" max="19" width="12.7109375" customWidth="1"/>
    <col min="20" max="20" width="13.5703125" customWidth="1"/>
    <col min="21" max="21" width="13" customWidth="1"/>
    <col min="22" max="22" width="14" customWidth="1"/>
  </cols>
  <sheetData>
    <row r="1" spans="1:28" x14ac:dyDescent="0.2">
      <c r="A1" s="11" t="s">
        <v>563</v>
      </c>
      <c r="C1" s="11" t="s">
        <v>568</v>
      </c>
      <c r="D1" s="11"/>
      <c r="E1" s="9" t="s">
        <v>579</v>
      </c>
      <c r="F1" s="9"/>
      <c r="G1" s="3"/>
      <c r="H1" s="3"/>
      <c r="I1" s="3"/>
      <c r="J1" s="11" t="s">
        <v>443</v>
      </c>
      <c r="K1" s="3"/>
      <c r="L1" s="3"/>
      <c r="M1" s="3"/>
      <c r="N1" s="3"/>
      <c r="O1" s="3"/>
      <c r="P1" s="3"/>
      <c r="Q1" s="3"/>
      <c r="R1" s="3"/>
      <c r="S1" s="3"/>
      <c r="T1" s="3"/>
      <c r="U1" s="3"/>
      <c r="V1" s="3"/>
      <c r="W1" s="3"/>
      <c r="X1" s="3"/>
      <c r="Y1" s="3"/>
      <c r="Z1" s="3"/>
      <c r="AA1" s="3"/>
      <c r="AB1" s="3"/>
    </row>
    <row r="2" spans="1:28" x14ac:dyDescent="0.2">
      <c r="A2" t="s">
        <v>564</v>
      </c>
      <c r="B2" t="b">
        <v>0</v>
      </c>
      <c r="C2">
        <f>IF(B2=TRUE,1,0)</f>
        <v>0</v>
      </c>
      <c r="E2" s="7" t="s">
        <v>139</v>
      </c>
      <c r="G2" s="3"/>
      <c r="H2" s="3"/>
      <c r="I2" s="3"/>
      <c r="J2" s="515" t="s">
        <v>491</v>
      </c>
      <c r="K2" s="515" t="s">
        <v>444</v>
      </c>
      <c r="L2" s="515" t="s">
        <v>415</v>
      </c>
      <c r="M2" s="515" t="s">
        <v>445</v>
      </c>
      <c r="N2" s="515" t="s">
        <v>1255</v>
      </c>
      <c r="O2" s="591" t="s">
        <v>446</v>
      </c>
      <c r="P2" s="3"/>
      <c r="Q2" s="3"/>
      <c r="R2" s="3"/>
      <c r="S2" s="3"/>
      <c r="T2" s="3"/>
      <c r="U2" s="3"/>
      <c r="V2" s="3"/>
      <c r="W2" s="3"/>
      <c r="X2" s="3"/>
      <c r="Y2" s="3"/>
      <c r="Z2" s="3"/>
      <c r="AA2" s="3"/>
      <c r="AB2" s="3"/>
    </row>
    <row r="3" spans="1:28" x14ac:dyDescent="0.2">
      <c r="A3" t="s">
        <v>565</v>
      </c>
      <c r="B3" t="b">
        <f>B15</f>
        <v>0</v>
      </c>
      <c r="C3">
        <f>IF(B3=TRUE,1,0)</f>
        <v>0</v>
      </c>
      <c r="E3" s="7" t="s">
        <v>140</v>
      </c>
      <c r="G3" s="3"/>
      <c r="H3" s="3"/>
      <c r="I3" s="3"/>
      <c r="J3" s="592" t="str">
        <f>+'Print Return'!B210</f>
        <v/>
      </c>
      <c r="K3" s="593">
        <f>IF('Print Return'!H210="",0,'Print Return'!H210)</f>
        <v>0</v>
      </c>
      <c r="L3" s="593">
        <f>IF('Print Return'!J210="",0,'Print Return'!J210)</f>
        <v>0</v>
      </c>
      <c r="M3" s="593">
        <f>IF('Print Return'!M210="",0,'Print Return'!M210)</f>
        <v>0</v>
      </c>
      <c r="N3" s="593">
        <f>SUM(K3:M3)</f>
        <v>0</v>
      </c>
      <c r="O3" s="593">
        <f>IF('Print Return'!L$205 &lt;&gt;0, ROUND(N3/'Print Return'!L$205,6), 0)</f>
        <v>0</v>
      </c>
      <c r="P3" s="3"/>
      <c r="Q3" s="3"/>
      <c r="R3" s="3"/>
      <c r="S3" s="3"/>
      <c r="T3" s="3"/>
      <c r="U3" s="3"/>
      <c r="V3" s="3"/>
      <c r="W3" s="3"/>
      <c r="X3" s="3"/>
      <c r="Y3" s="3"/>
      <c r="Z3" s="3"/>
      <c r="AA3" s="3"/>
      <c r="AB3" s="3"/>
    </row>
    <row r="4" spans="1:28" x14ac:dyDescent="0.2">
      <c r="A4" t="s">
        <v>566</v>
      </c>
      <c r="B4" t="b">
        <f>B11</f>
        <v>0</v>
      </c>
      <c r="C4">
        <f>IF(B4=TRUE,1,0)</f>
        <v>0</v>
      </c>
      <c r="E4" s="7" t="s">
        <v>141</v>
      </c>
      <c r="G4" s="3"/>
      <c r="H4" s="3"/>
      <c r="I4" s="3"/>
      <c r="J4" s="592" t="str">
        <f>+'Print Return'!B211</f>
        <v/>
      </c>
      <c r="K4" s="593">
        <f>IF('Print Return'!H211="",0,'Print Return'!H211)</f>
        <v>0</v>
      </c>
      <c r="L4" s="593">
        <f>IF('Print Return'!J211="",0,'Print Return'!J211)</f>
        <v>0</v>
      </c>
      <c r="M4" s="593">
        <f>IF('Print Return'!M211="",0,'Print Return'!M211)</f>
        <v>0</v>
      </c>
      <c r="N4" s="593">
        <f>SUM(K4:M4)</f>
        <v>0</v>
      </c>
      <c r="O4" s="593">
        <f>IF('Print Return'!L$205 &lt;&gt;0, ROUND(N4/'Print Return'!L$205,6), 0)</f>
        <v>0</v>
      </c>
      <c r="P4" s="3"/>
      <c r="Q4" s="3"/>
      <c r="R4" s="3"/>
      <c r="S4" s="3"/>
      <c r="T4" s="3"/>
      <c r="U4" s="3"/>
      <c r="V4" s="3"/>
      <c r="W4" s="3"/>
      <c r="X4" s="3"/>
      <c r="Y4" s="3"/>
      <c r="Z4" s="3"/>
      <c r="AA4" s="3"/>
      <c r="AB4" s="3"/>
    </row>
    <row r="5" spans="1:28" x14ac:dyDescent="0.2">
      <c r="A5" t="s">
        <v>567</v>
      </c>
      <c r="B5" t="b">
        <f>IF(OR(B10=TRUE,B14=TRUE,B16=TRUE),TRUE,FALSE)</f>
        <v>0</v>
      </c>
      <c r="C5">
        <f>IF(B5=TRUE,1,0)</f>
        <v>0</v>
      </c>
      <c r="E5" s="7" t="s">
        <v>578</v>
      </c>
      <c r="J5" s="592" t="str">
        <f>+'Print Return'!B212</f>
        <v/>
      </c>
      <c r="K5" s="593">
        <f>IF('Print Return'!H212="",0,'Print Return'!H212)</f>
        <v>0</v>
      </c>
      <c r="L5" s="593">
        <f>IF('Print Return'!J212="",0,'Print Return'!J212)</f>
        <v>0</v>
      </c>
      <c r="M5" s="593">
        <f>IF('Print Return'!M212="",0,'Print Return'!M212)</f>
        <v>0</v>
      </c>
      <c r="N5" s="593">
        <f>SUM(K5:M5)</f>
        <v>0</v>
      </c>
      <c r="O5" s="593">
        <f>IF('Print Return'!L$205 &lt;&gt;0, ROUND(N5/'Print Return'!L$205,6), 0)</f>
        <v>0</v>
      </c>
    </row>
    <row r="6" spans="1:28" ht="13.5" thickBot="1" x14ac:dyDescent="0.25">
      <c r="A6" s="23" t="s">
        <v>644</v>
      </c>
      <c r="B6" s="14">
        <f>COUNTIF(B2:B5,TRUE)</f>
        <v>0</v>
      </c>
      <c r="C6" s="14">
        <f>SUM(C2:C5)</f>
        <v>0</v>
      </c>
      <c r="D6" s="16"/>
      <c r="E6" s="18" t="str">
        <f>IF(OR(B12=TRUE,B13=TRUE),E2,"(From the Federal Taxable Income Worksheet on Page 3)")</f>
        <v>(From the Federal Taxable Income Worksheet on Page 3)</v>
      </c>
      <c r="F6" s="15"/>
      <c r="J6" s="592" t="str">
        <f>+'Print Return'!B213</f>
        <v/>
      </c>
      <c r="K6" s="593">
        <f>IF('Print Return'!H213="",0,'Print Return'!H213)</f>
        <v>0</v>
      </c>
      <c r="L6" s="593">
        <f>IF('Print Return'!J213="",0,'Print Return'!J213)</f>
        <v>0</v>
      </c>
      <c r="M6" s="593">
        <f>IF('Print Return'!M213="",0,'Print Return'!M213)</f>
        <v>0</v>
      </c>
      <c r="N6" s="593">
        <f>SUM(K6:M6)</f>
        <v>0</v>
      </c>
      <c r="O6" s="593">
        <f>IF('Print Return'!L$205 &lt;&gt;0, ROUND(N6/'Print Return'!L$205,6), 0)</f>
        <v>0</v>
      </c>
    </row>
    <row r="7" spans="1:28" ht="13.5" thickTop="1" x14ac:dyDescent="0.2">
      <c r="E7" s="15"/>
      <c r="F7" s="15"/>
      <c r="J7" s="592" t="str">
        <f>+'Print Return'!B214</f>
        <v/>
      </c>
      <c r="K7" s="593">
        <f>IF('Print Return'!H214="",0,'Print Return'!H214)</f>
        <v>0</v>
      </c>
      <c r="L7" s="593">
        <f>IF('Print Return'!J214="",0,'Print Return'!J214)</f>
        <v>0</v>
      </c>
      <c r="M7" s="593">
        <f>IF('Print Return'!M214="",0,'Print Return'!M214)</f>
        <v>0</v>
      </c>
      <c r="N7" s="593">
        <f>SUM(K7:M7)</f>
        <v>0</v>
      </c>
      <c r="O7" s="593">
        <f>IF('Print Return'!L$205 &lt;&gt;0, ROUND(N7/'Print Return'!L$205,6), 0)</f>
        <v>0</v>
      </c>
    </row>
    <row r="8" spans="1:28" x14ac:dyDescent="0.2">
      <c r="A8" s="11" t="s">
        <v>636</v>
      </c>
      <c r="C8" s="11"/>
      <c r="E8" s="15"/>
      <c r="F8" s="15"/>
      <c r="O8" s="593">
        <f>IF('Print Return'!L$205 &lt;&gt;0, ROUND(N8/'Print Return'!L$205,6), 0)</f>
        <v>0</v>
      </c>
    </row>
    <row r="9" spans="1:28" x14ac:dyDescent="0.2">
      <c r="A9" s="19">
        <v>1040</v>
      </c>
      <c r="B9" s="161" t="b">
        <v>0</v>
      </c>
      <c r="C9" s="32"/>
      <c r="E9" s="48" t="s">
        <v>382</v>
      </c>
      <c r="F9" s="15" t="b">
        <f>IF(OR(B12=TRUE,B13=TRUE),TRUE,FALSE)</f>
        <v>0</v>
      </c>
    </row>
    <row r="10" spans="1:28" x14ac:dyDescent="0.2">
      <c r="A10" s="19">
        <v>1041</v>
      </c>
      <c r="B10" s="161" t="b">
        <v>0</v>
      </c>
      <c r="C10" s="33" t="s">
        <v>648</v>
      </c>
      <c r="E10" s="15"/>
      <c r="F10" s="15"/>
    </row>
    <row r="11" spans="1:28" x14ac:dyDescent="0.2">
      <c r="A11" s="19">
        <v>1065</v>
      </c>
      <c r="B11" s="161" t="b">
        <v>0</v>
      </c>
      <c r="C11" s="33" t="s">
        <v>649</v>
      </c>
      <c r="E11" s="15"/>
      <c r="F11" s="15"/>
    </row>
    <row r="12" spans="1:28" x14ac:dyDescent="0.2">
      <c r="A12" s="19">
        <v>1120</v>
      </c>
      <c r="B12" s="161" t="b">
        <v>0</v>
      </c>
      <c r="C12" s="33" t="s">
        <v>650</v>
      </c>
      <c r="E12" s="15"/>
      <c r="F12" s="15"/>
    </row>
    <row r="13" spans="1:28" x14ac:dyDescent="0.2">
      <c r="A13" s="19" t="s">
        <v>637</v>
      </c>
      <c r="B13" s="161" t="b">
        <v>0</v>
      </c>
      <c r="C13" s="33" t="s">
        <v>651</v>
      </c>
      <c r="E13" s="15"/>
      <c r="F13" s="15"/>
    </row>
    <row r="14" spans="1:28" x14ac:dyDescent="0.2">
      <c r="A14" s="19" t="s">
        <v>638</v>
      </c>
      <c r="B14" s="161" t="b">
        <v>0</v>
      </c>
      <c r="C14" s="33" t="s">
        <v>653</v>
      </c>
      <c r="F14" s="15"/>
    </row>
    <row r="15" spans="1:28" x14ac:dyDescent="0.2">
      <c r="A15" t="s">
        <v>640</v>
      </c>
      <c r="B15" s="161" t="b">
        <v>0</v>
      </c>
      <c r="C15" s="33" t="s">
        <v>652</v>
      </c>
      <c r="E15" s="15"/>
      <c r="F15" s="15"/>
    </row>
    <row r="16" spans="1:28" x14ac:dyDescent="0.2">
      <c r="A16" s="19" t="s">
        <v>567</v>
      </c>
      <c r="B16" s="161" t="b">
        <v>0</v>
      </c>
      <c r="E16" s="15"/>
      <c r="F16" s="15"/>
    </row>
    <row r="17" spans="1:9" ht="13.5" thickBot="1" x14ac:dyDescent="0.25">
      <c r="A17" s="23" t="s">
        <v>644</v>
      </c>
      <c r="B17" s="14">
        <f>COUNTIF(B9:B16,TRUE)</f>
        <v>0</v>
      </c>
      <c r="E17" s="15"/>
      <c r="F17" s="15"/>
    </row>
    <row r="18" spans="1:9" ht="13.5" thickTop="1" x14ac:dyDescent="0.2">
      <c r="A18" s="23" t="s">
        <v>645</v>
      </c>
      <c r="B18" s="7" t="s">
        <v>108</v>
      </c>
      <c r="E18" s="15"/>
      <c r="F18" s="15"/>
    </row>
    <row r="19" spans="1:9" x14ac:dyDescent="0.2">
      <c r="A19" s="23" t="s">
        <v>646</v>
      </c>
      <c r="B19" s="7" t="s">
        <v>109</v>
      </c>
      <c r="E19" s="15"/>
      <c r="F19" s="15"/>
    </row>
    <row r="20" spans="1:9" x14ac:dyDescent="0.2">
      <c r="A20" s="23" t="s">
        <v>647</v>
      </c>
      <c r="B20" s="7" t="str">
        <f>IF(B17=0,B18,IF(B17&gt;1,B19,IF(B9=TRUE,"Do not file on Form 27.  File using Form 37.","")))</f>
        <v>No federal filing Business Type selected.</v>
      </c>
      <c r="E20" s="15"/>
      <c r="F20" s="15"/>
    </row>
    <row r="21" spans="1:9" x14ac:dyDescent="0.2">
      <c r="A21" s="718" t="s">
        <v>1545</v>
      </c>
      <c r="B21" s="161" t="b">
        <v>0</v>
      </c>
      <c r="E21" s="15"/>
      <c r="F21" s="15"/>
    </row>
    <row r="22" spans="1:9" x14ac:dyDescent="0.2">
      <c r="A22" s="11" t="s">
        <v>569</v>
      </c>
      <c r="B22" s="161" t="b">
        <v>0</v>
      </c>
      <c r="E22" t="s">
        <v>996</v>
      </c>
      <c r="F22" s="672" t="b">
        <v>0</v>
      </c>
    </row>
    <row r="23" spans="1:9" x14ac:dyDescent="0.2">
      <c r="A23" s="11" t="s">
        <v>601</v>
      </c>
      <c r="B23" s="161" t="b">
        <v>0</v>
      </c>
    </row>
    <row r="24" spans="1:9" x14ac:dyDescent="0.2">
      <c r="A24" s="11"/>
    </row>
    <row r="25" spans="1:9" x14ac:dyDescent="0.2">
      <c r="A25" s="23" t="s">
        <v>1096</v>
      </c>
      <c r="B25" s="161" t="b">
        <v>1</v>
      </c>
    </row>
    <row r="26" spans="1:9" x14ac:dyDescent="0.2">
      <c r="A26" s="23" t="s">
        <v>1095</v>
      </c>
      <c r="B26" s="161" t="b">
        <v>0</v>
      </c>
    </row>
    <row r="27" spans="1:9" x14ac:dyDescent="0.2">
      <c r="A27" s="23" t="s">
        <v>644</v>
      </c>
      <c r="B27">
        <f>COUNTIF(B25:B26,TRUE)</f>
        <v>1</v>
      </c>
    </row>
    <row r="28" spans="1:9" x14ac:dyDescent="0.2">
      <c r="A28" s="23" t="s">
        <v>645</v>
      </c>
      <c r="B28" t="s">
        <v>1415</v>
      </c>
    </row>
    <row r="29" spans="1:9" x14ac:dyDescent="0.2">
      <c r="A29" s="23" t="s">
        <v>646</v>
      </c>
      <c r="B29" s="7" t="s">
        <v>1405</v>
      </c>
    </row>
    <row r="30" spans="1:9" x14ac:dyDescent="0.2">
      <c r="A30" s="23" t="s">
        <v>647</v>
      </c>
      <c r="B30" t="str">
        <f>IF(AND(B66&gt;0,B27=0),B28,IF(AND(B66&gt;0,B27&gt;1),B29,""))</f>
        <v/>
      </c>
    </row>
    <row r="32" spans="1:9" x14ac:dyDescent="0.2">
      <c r="A32" s="11" t="s">
        <v>570</v>
      </c>
      <c r="B32" s="9" t="s">
        <v>576</v>
      </c>
      <c r="C32" s="9" t="s">
        <v>1010</v>
      </c>
      <c r="D32" s="9"/>
      <c r="E32" s="53" t="s">
        <v>1013</v>
      </c>
      <c r="F32" s="353" t="s">
        <v>383</v>
      </c>
      <c r="G32" s="353" t="s">
        <v>384</v>
      </c>
      <c r="H32" s="353" t="s">
        <v>591</v>
      </c>
      <c r="I32" s="353" t="s">
        <v>774</v>
      </c>
    </row>
    <row r="33" spans="1:9" x14ac:dyDescent="0.2">
      <c r="A33" t="s">
        <v>571</v>
      </c>
      <c r="B33" s="161">
        <f>'Tax Rate Calc'!$C7</f>
        <v>1</v>
      </c>
      <c r="C33" s="15">
        <f>LOOKUP($B$33,Cities!$A$3:$A$356,Cities!$V$3:$V$356)</f>
        <v>0</v>
      </c>
      <c r="D33" s="844" t="b">
        <v>0</v>
      </c>
      <c r="E33" s="60" t="str">
        <f>IF(AND(B33&lt;&gt;1,C33=0),CONCATENATE(A40,": Net operating loss carryovers incurred in tax years prior to 1/1/17 are not permitted."),IF(C33=3,CONCATENATE(A40,": Net operating loss carryovers incurred in tax years prior to 1/1/17 are restricted to three (3) years."),IF(C33=3000,CONCATENATE(A40,": Only the first $3,000 of a year's loss may be carried over as an NOL (5yrs)."),IF(C33=1,CONCATENATE(A40,": Net operating loss carryovers incurred in tax years prior to 1/1/17 are restricted to one (1) year."),""))))</f>
        <v/>
      </c>
      <c r="F33" s="318" t="str">
        <f>IF(AND(B33&gt;1,C33=0),A40,"")</f>
        <v/>
      </c>
      <c r="G33" s="318" t="str">
        <f>IF(AND(B33&gt;1,C33=3),A40,"")</f>
        <v/>
      </c>
      <c r="H33" s="318" t="str">
        <f>IF(AND(B33&gt;1,C33=1),A40,"")</f>
        <v/>
      </c>
      <c r="I33" s="67" t="str">
        <f>'Tax Rate Calc'!$N$7</f>
        <v/>
      </c>
    </row>
    <row r="34" spans="1:9" x14ac:dyDescent="0.2">
      <c r="A34" t="s">
        <v>572</v>
      </c>
      <c r="B34" s="161">
        <f>'Tax Rate Calc'!$C8</f>
        <v>1</v>
      </c>
      <c r="C34" s="15">
        <f>LOOKUP(B34,Cities!A$3:A$356,Cities!V$3:V$356)</f>
        <v>0</v>
      </c>
      <c r="D34" s="844" t="b">
        <v>0</v>
      </c>
      <c r="E34" s="60" t="str">
        <f>IF(AND(B34&lt;&gt;1,C34=0),CONCATENATE(A41,": Net operating loss carryovers incurred in tax years prior to 1/1/17 are not permitted."),IF(C34=3,CONCATENATE(A41,": Net operating loss carryovers incurred in tax years prior to 1/1/17 are restricted to three (3) years."),IF(C34=3000,CONCATENATE(A41,": Only the first $3,000 of a year's loss may be carried over as an NOL (5yrs)."),IF(C34=1,CONCATENATE(A41,": Net operating loss carryovers incurred in tax years prior to 1/1/17 are restricted to one (1) year."),""))))</f>
        <v/>
      </c>
      <c r="F34" s="318" t="str">
        <f>IF(AND(B34&gt;1,C34=0),A41,"")</f>
        <v/>
      </c>
      <c r="G34" s="318" t="str">
        <f>IF(AND(B34&gt;1,C34=3),A41,"")</f>
        <v/>
      </c>
      <c r="H34" s="318" t="str">
        <f>IF(AND(B34&gt;1,C34=1),A41,"")</f>
        <v/>
      </c>
      <c r="I34" s="67" t="str">
        <f>'Tax Rate Calc'!$N$8</f>
        <v/>
      </c>
    </row>
    <row r="35" spans="1:9" x14ac:dyDescent="0.2">
      <c r="A35" t="s">
        <v>573</v>
      </c>
      <c r="B35" s="161">
        <f>'Tax Rate Calc'!$C9</f>
        <v>1</v>
      </c>
      <c r="C35" s="15">
        <f>LOOKUP(B35,Cities!A$3:A$356,Cities!V$3:V$356)</f>
        <v>0</v>
      </c>
      <c r="D35" s="844" t="b">
        <v>0</v>
      </c>
      <c r="E35" s="60" t="str">
        <f>IF(AND(B35&lt;&gt;1,C35=0),CONCATENATE(A42,": Net operating loss carryovers incurred in tax years prior to 1/1/17 are not permitted."),IF(C35=3,CONCATENATE(A42,": Net operating loss carryovers incurred in tax years prior to 1/1/17 are restricted to three (3) years."),IF(C35=3000,CONCATENATE(A42,": Only the first $3,000 of a year's loss may be carried over as an NOL (5yrs)."),IF(C35=1,CONCATENATE(A42,": Net operating loss carryovers incurred in tax years prior to 1/1/17 are restricted to one (1) year."),""))))</f>
        <v/>
      </c>
      <c r="F35" s="318" t="str">
        <f>IF(AND(B35&gt;1,C35=0),A42,"")</f>
        <v/>
      </c>
      <c r="G35" s="318" t="str">
        <f>IF(AND(B35&gt;1,C35=3),A42,"")</f>
        <v/>
      </c>
      <c r="H35" s="318" t="str">
        <f>IF(AND(B35&gt;1,C35=1),A42,"")</f>
        <v/>
      </c>
      <c r="I35" s="67" t="str">
        <f>'Tax Rate Calc'!$N$9</f>
        <v/>
      </c>
    </row>
    <row r="36" spans="1:9" x14ac:dyDescent="0.2">
      <c r="A36" t="s">
        <v>574</v>
      </c>
      <c r="B36" s="161">
        <f>'Tax Rate Calc'!$C10</f>
        <v>1</v>
      </c>
      <c r="C36" s="15">
        <f>LOOKUP(B36,Cities!A$3:A$356,Cities!V$3:V$356)</f>
        <v>0</v>
      </c>
      <c r="D36" s="844" t="b">
        <v>0</v>
      </c>
      <c r="E36" s="60" t="str">
        <f>IF(AND(B36&lt;&gt;1,C36=0),CONCATENATE(A43,": Net operating loss carryovers incurred in tax years prior to 1/1/17 are not permitted."),IF(C36=3,CONCATENATE(A43,": Net operating loss carryovers incurred in tax years prior to 1/1/17 are restricted to three (3) years."),IF(C36=3000,CONCATENATE(A43,": Only the first $3,000 of a year's loss may be carried over as an NOL (5yrs)."),IF(C36=1,CONCATENATE(A43,": Net operating loss carryovers incurred in tax years prior to 1/1/17 are restricted to one (1) year."),""))))</f>
        <v/>
      </c>
      <c r="F36" s="318" t="str">
        <f>IF(AND(B36&gt;1,C36=0),A43,"")</f>
        <v/>
      </c>
      <c r="G36" s="318" t="str">
        <f>IF(AND(B36&gt;1,C36=3),A43,"")</f>
        <v/>
      </c>
      <c r="H36" s="318" t="str">
        <f>IF(AND(B36&gt;1,C36=1),A43,"")</f>
        <v/>
      </c>
      <c r="I36" s="67" t="str">
        <f>'Tax Rate Calc'!$N$10</f>
        <v/>
      </c>
    </row>
    <row r="37" spans="1:9" x14ac:dyDescent="0.2">
      <c r="A37" t="s">
        <v>575</v>
      </c>
      <c r="B37" s="161">
        <f>'Tax Rate Calc'!$C11</f>
        <v>1</v>
      </c>
      <c r="C37" s="15">
        <f>LOOKUP(B37,Cities!A$3:A$356,Cities!V$3:V$356)</f>
        <v>0</v>
      </c>
      <c r="D37" s="844" t="b">
        <v>0</v>
      </c>
      <c r="E37" s="60" t="str">
        <f>IF(AND(B37&lt;&gt;1,C37=0),CONCATENATE(A44,": Net operating loss carryovers incurred in tax years prior to 1/1/17 are not permitted."),IF(C37=3,CONCATENATE(A44,": Net operating loss carryovers incurred in tax years prior to 1/1/17 are restricted to three (3) years."),IF(C37=3000,CONCATENATE(A44,": Only the first $3,000 of a year's loss may be carried over as an NOL (5yrs)."),IF(C37=1,CONCATENATE(A44,": Net operating loss carryovers incurred in tax years prior to 1/1/17 are restricted to one (1) year."),""))))</f>
        <v/>
      </c>
      <c r="F37" s="318" t="str">
        <f>IF(AND(B37&gt;1,C37=0),A44,"")</f>
        <v/>
      </c>
      <c r="G37" s="318" t="str">
        <f>IF(AND(B37&gt;1,C37=3),A44,"")</f>
        <v/>
      </c>
      <c r="H37" s="318" t="str">
        <f>IF(AND(B37&gt;1,C37=1),A44,"")</f>
        <v/>
      </c>
      <c r="I37" s="67" t="str">
        <f>'Tax Rate Calc'!$N$11</f>
        <v/>
      </c>
    </row>
    <row r="38" spans="1:9" x14ac:dyDescent="0.2">
      <c r="A38" t="s">
        <v>1240</v>
      </c>
      <c r="B38">
        <f>SUM(B33:B37)</f>
        <v>5</v>
      </c>
      <c r="E38" s="93"/>
    </row>
    <row r="39" spans="1:9" x14ac:dyDescent="0.2">
      <c r="A39" s="11" t="s">
        <v>1241</v>
      </c>
      <c r="F39" s="667" t="s">
        <v>289</v>
      </c>
      <c r="G39" s="368"/>
      <c r="H39" s="368"/>
    </row>
    <row r="40" spans="1:9" x14ac:dyDescent="0.2">
      <c r="A40" s="15">
        <f>LOOKUP($B33,Cities!$A$3:$A$356,Cities!$C$3:$C$356)</f>
        <v>0</v>
      </c>
      <c r="B40">
        <f>LOOKUP($B33,Cities!$A$3:$A$356,Cities!$AA$3:$AA$356)</f>
        <v>0</v>
      </c>
      <c r="C40" s="1" t="s">
        <v>1242</v>
      </c>
      <c r="D40">
        <f>B38</f>
        <v>5</v>
      </c>
    </row>
    <row r="41" spans="1:9" x14ac:dyDescent="0.2">
      <c r="A41" s="15">
        <f>LOOKUP($B34,Cities!$A$3:$A$356,Cities!$C$3:$C$356)</f>
        <v>0</v>
      </c>
      <c r="B41">
        <f>LOOKUP($B34,Cities!$A$3:$A$356,Cities!$AA$3:$AA$356)</f>
        <v>0</v>
      </c>
      <c r="C41" t="s">
        <v>1243</v>
      </c>
      <c r="D41">
        <f>D40-4</f>
        <v>1</v>
      </c>
      <c r="E41" t="s">
        <v>1244</v>
      </c>
      <c r="F41" s="668" t="str">
        <f>IF(AND(F33&lt;&gt;"",F34&lt;&gt;""),CONCATENATE(F33,", ",F34),CONCATENATE(F33,F34))</f>
        <v/>
      </c>
      <c r="G41" s="668" t="str">
        <f>IF(AND(G33&lt;&gt;"",G34&lt;&gt;""),CONCATENATE(G33,", ",G34),CONCATENATE(G33,G34))</f>
        <v/>
      </c>
      <c r="H41" s="668" t="str">
        <f>IF(AND(H33&lt;&gt;"",H34&lt;&gt;""),CONCATENATE(H33,", ",H34),CONCATENATE(H33,H34))</f>
        <v/>
      </c>
    </row>
    <row r="42" spans="1:9" x14ac:dyDescent="0.2">
      <c r="A42" s="15">
        <f>LOOKUP($B35,Cities!$A$3:$A$356,Cities!$C$3:$C$356)</f>
        <v>0</v>
      </c>
      <c r="B42">
        <f>LOOKUP($B35,Cities!$A$3:$A$356,Cities!$AA$3:$AA$356)</f>
        <v>0</v>
      </c>
      <c r="C42">
        <f>IF(B33=D$41,D$41,0)</f>
        <v>1</v>
      </c>
      <c r="E42" t="s">
        <v>1245</v>
      </c>
      <c r="F42" s="668" t="str">
        <f t="shared" ref="F42:H44" si="0">IF(AND(F41&lt;&gt;"",F35&lt;&gt;""),CONCATENATE(F41,", ",F35),CONCATENATE(F41,F35))</f>
        <v/>
      </c>
      <c r="G42" s="668" t="str">
        <f t="shared" si="0"/>
        <v/>
      </c>
      <c r="H42" s="668" t="str">
        <f t="shared" si="0"/>
        <v/>
      </c>
    </row>
    <row r="43" spans="1:9" x14ac:dyDescent="0.2">
      <c r="A43" s="15">
        <f>LOOKUP($B36,Cities!$A$3:$A$356,Cities!$C$3:$C$356)</f>
        <v>0</v>
      </c>
      <c r="B43">
        <f>LOOKUP($B36,Cities!$A$3:$A$356,Cities!$AA$3:$AA$356)</f>
        <v>0</v>
      </c>
      <c r="C43">
        <f>IF(B34=D$41,D$41,0)</f>
        <v>1</v>
      </c>
      <c r="F43" s="668" t="str">
        <f t="shared" si="0"/>
        <v/>
      </c>
      <c r="G43" s="668" t="str">
        <f t="shared" si="0"/>
        <v/>
      </c>
      <c r="H43" s="668" t="str">
        <f t="shared" si="0"/>
        <v/>
      </c>
    </row>
    <row r="44" spans="1:9" x14ac:dyDescent="0.2">
      <c r="A44" s="15">
        <f>LOOKUP($B37,Cities!$A$3:$A$356,Cities!$C$3:$C$356)</f>
        <v>0</v>
      </c>
      <c r="B44">
        <f>LOOKUP($B37,Cities!$A$3:$A$356,Cities!$AA$3:$AA$356)</f>
        <v>0</v>
      </c>
      <c r="C44">
        <f>IF(B35=D$41,D$41,0)</f>
        <v>1</v>
      </c>
      <c r="E44" s="75" t="s">
        <v>1247</v>
      </c>
      <c r="F44" s="668" t="str">
        <f t="shared" si="0"/>
        <v/>
      </c>
      <c r="G44" s="668" t="str">
        <f t="shared" si="0"/>
        <v/>
      </c>
      <c r="H44" s="668" t="str">
        <f t="shared" si="0"/>
        <v/>
      </c>
    </row>
    <row r="45" spans="1:9" ht="90" x14ac:dyDescent="0.2">
      <c r="C45">
        <f>IF(B36=D$41,D$41,0)</f>
        <v>1</v>
      </c>
      <c r="E45" s="76" t="str">
        <f>CONCATENATE("You have selected only ",A47," for RITA income allocation.  If 100% of ",'Complete This Page'!B3,"'s income was earned in ",A47,", check this box.  Make sure ",A47," appears in the first drop-down box.")</f>
        <v>You have selected only  for RITA income allocation.  If 100% of 's income was earned in , check this box.  Make sure  appears in the first drop-down box.</v>
      </c>
    </row>
    <row r="46" spans="1:9" x14ac:dyDescent="0.2">
      <c r="C46">
        <f>IF(B37=D$41,D$41,0)</f>
        <v>1</v>
      </c>
      <c r="E46" s="59" t="s">
        <v>1379</v>
      </c>
    </row>
    <row r="47" spans="1:9" ht="13.5" thickBot="1" x14ac:dyDescent="0.25">
      <c r="A47" s="34" t="str">
        <f>IF(D41=C47,LOOKUP(C47,Cities!$A$3:$A$356,Cities!$C$3:$C$356),"")</f>
        <v/>
      </c>
      <c r="C47" s="14">
        <f>SUM(C42:C46)</f>
        <v>5</v>
      </c>
      <c r="E47" t="s">
        <v>1246</v>
      </c>
    </row>
    <row r="48" spans="1:9" ht="13.5" thickTop="1" x14ac:dyDescent="0.2">
      <c r="A48" s="11" t="s">
        <v>1248</v>
      </c>
      <c r="B48" s="161" t="b">
        <v>0</v>
      </c>
    </row>
    <row r="49" spans="1:5" x14ac:dyDescent="0.2">
      <c r="A49" t="s">
        <v>1345</v>
      </c>
      <c r="B49" s="171" t="b">
        <f>IF(AND(B48=TRUE,A47&lt;&gt;""),TRUE,FALSE)</f>
        <v>0</v>
      </c>
    </row>
    <row r="50" spans="1:5" x14ac:dyDescent="0.2">
      <c r="A50" s="594" t="s">
        <v>1346</v>
      </c>
      <c r="B50" s="3"/>
      <c r="C50" s="3"/>
    </row>
    <row r="51" spans="1:5" x14ac:dyDescent="0.2">
      <c r="A51" s="3" t="s">
        <v>1347</v>
      </c>
      <c r="B51" s="3">
        <f>IF('Print Return'!L202=0,0,1)</f>
        <v>0</v>
      </c>
      <c r="C51" s="3"/>
    </row>
    <row r="52" spans="1:5" x14ac:dyDescent="0.2">
      <c r="A52" s="3" t="s">
        <v>1348</v>
      </c>
      <c r="B52" s="3">
        <f>IF('Print Return'!L203=0,0,1)</f>
        <v>0</v>
      </c>
      <c r="C52" s="3"/>
    </row>
    <row r="53" spans="1:5" x14ac:dyDescent="0.2">
      <c r="A53" s="3" t="s">
        <v>1349</v>
      </c>
      <c r="B53" s="3">
        <f>IF('Print Return'!L204=0,0,1)</f>
        <v>0</v>
      </c>
      <c r="C53" s="3"/>
    </row>
    <row r="54" spans="1:5" ht="13.5" thickBot="1" x14ac:dyDescent="0.25">
      <c r="A54" s="594" t="s">
        <v>1350</v>
      </c>
      <c r="B54" s="595">
        <f>SUM(B51:B53)</f>
        <v>0</v>
      </c>
      <c r="C54" s="3"/>
    </row>
    <row r="55" spans="1:5" ht="13.5" thickTop="1" x14ac:dyDescent="0.2">
      <c r="A55" s="11"/>
    </row>
    <row r="56" spans="1:5" x14ac:dyDescent="0.2">
      <c r="A56" s="11" t="s">
        <v>1356</v>
      </c>
    </row>
    <row r="57" spans="1:5" x14ac:dyDescent="0.2">
      <c r="A57" s="1584" t="s">
        <v>1357</v>
      </c>
      <c r="B57" s="1584"/>
      <c r="C57" s="86">
        <f>SUM('Print Return'!F79:F87)</f>
        <v>0</v>
      </c>
    </row>
    <row r="58" spans="1:5" x14ac:dyDescent="0.2">
      <c r="A58" s="97" t="s">
        <v>1358</v>
      </c>
      <c r="C58" s="86">
        <f>'Print Return'!L51</f>
        <v>0</v>
      </c>
      <c r="E58" t="s">
        <v>1359</v>
      </c>
    </row>
    <row r="59" spans="1:5" x14ac:dyDescent="0.2">
      <c r="A59" s="12" t="s">
        <v>1360</v>
      </c>
      <c r="C59" s="86">
        <f>ABS(C57-C58)</f>
        <v>0</v>
      </c>
      <c r="E59" t="s">
        <v>107</v>
      </c>
    </row>
    <row r="60" spans="1:5" x14ac:dyDescent="0.2">
      <c r="A60" s="12"/>
      <c r="C60" s="1" t="str">
        <f>IF(C59&gt;3,CONCATENATE("Rounding Error: $",C59),"")</f>
        <v/>
      </c>
      <c r="E60" t="s">
        <v>1361</v>
      </c>
    </row>
    <row r="61" spans="1:5" x14ac:dyDescent="0.2">
      <c r="A61" s="12"/>
    </row>
    <row r="62" spans="1:5" x14ac:dyDescent="0.2">
      <c r="A62" s="11" t="s">
        <v>577</v>
      </c>
    </row>
    <row r="63" spans="1:5" s="12" customFormat="1" x14ac:dyDescent="0.2"/>
    <row r="64" spans="1:5" s="12" customFormat="1" ht="33" customHeight="1" x14ac:dyDescent="0.2">
      <c r="A64" s="101" t="s">
        <v>1382</v>
      </c>
      <c r="B64" s="100">
        <f>'Complete This Page'!I19</f>
        <v>0</v>
      </c>
      <c r="E64" s="98" t="s">
        <v>1404</v>
      </c>
    </row>
    <row r="65" spans="1:6" s="12" customFormat="1" ht="33" customHeight="1" x14ac:dyDescent="0.2">
      <c r="A65" s="101" t="s">
        <v>1383</v>
      </c>
      <c r="B65" s="100">
        <f>'Complete This Page'!I16</f>
        <v>0</v>
      </c>
      <c r="E65" s="98" t="s">
        <v>1381</v>
      </c>
    </row>
    <row r="66" spans="1:6" s="12" customFormat="1" ht="33" customHeight="1" x14ac:dyDescent="0.2">
      <c r="A66" s="101" t="s">
        <v>1384</v>
      </c>
      <c r="B66" s="100">
        <f>'Print Return'!L64</f>
        <v>0</v>
      </c>
      <c r="E66" s="98" t="str">
        <f ca="1">CONCATENATE("Based on todays date, $",C74," of your estimated taxes due should accompany your return.  If you wish to pay a different amount with your return, please indicate the amount here:")</f>
        <v>Based on todays date, $0 of your estimated taxes due should accompany your return.  If you wish to pay a different amount with your return, please indicate the amount here:</v>
      </c>
    </row>
    <row r="67" spans="1:6" s="12" customFormat="1" ht="33.75" x14ac:dyDescent="0.2">
      <c r="A67" s="101" t="s">
        <v>1385</v>
      </c>
      <c r="B67" s="100">
        <f>'Print Return'!L53</f>
        <v>0</v>
      </c>
      <c r="E67" s="98" t="s">
        <v>1380</v>
      </c>
    </row>
    <row r="68" spans="1:6" s="12" customFormat="1" x14ac:dyDescent="0.2">
      <c r="A68" s="101" t="s">
        <v>1392</v>
      </c>
      <c r="B68" s="100">
        <f>'Complete This Page'!I162</f>
        <v>0</v>
      </c>
      <c r="C68" s="12">
        <f>IF('Complete This Page'!I162="",Data!B67,Data!B68)</f>
        <v>0</v>
      </c>
      <c r="E68" s="12" t="str">
        <f>IF('Print Return'!L61=0," no tax due, and ",CONCATENATE(" tax due of $",'Print Return'!L61," and "))</f>
        <v xml:space="preserve"> no tax due, and </v>
      </c>
    </row>
    <row r="69" spans="1:6" s="12" customFormat="1" x14ac:dyDescent="0.2">
      <c r="A69" s="101" t="s">
        <v>1394</v>
      </c>
      <c r="B69" s="100">
        <f>IF('Complete This Page'!I162="",Data!B67-'Print Return'!L107,Data!B68-'Print Return'!L107)</f>
        <v>0</v>
      </c>
      <c r="E69" s="12" t="str">
        <f>IF(B66&gt;0,CONCATENATE("an overpayment of $",B66,"."),"no overpayment for the current year.")</f>
        <v>no overpayment for the current year.</v>
      </c>
    </row>
    <row r="70" spans="1:6" s="12" customFormat="1" ht="13.5" thickBot="1" x14ac:dyDescent="0.25">
      <c r="A70" s="101" t="s">
        <v>1393</v>
      </c>
      <c r="B70" s="57"/>
      <c r="C70" s="12" t="s">
        <v>1388</v>
      </c>
    </row>
    <row r="71" spans="1:6" s="12" customFormat="1" x14ac:dyDescent="0.2">
      <c r="A71" s="101" t="s">
        <v>1387</v>
      </c>
      <c r="B71" s="103">
        <f>IF('Complete This Page'!J11="",DATE('Complete This Page'!G11,12,31),'Complete This Page'!J11)</f>
        <v>43465</v>
      </c>
      <c r="E71" s="375" t="s">
        <v>937</v>
      </c>
      <c r="F71" s="376">
        <f ca="1">IF('Complete This Page'!I162="",ROUND((Data!B67/4)*Data!B74,0),ROUND((B68/4)*Data!B74,0))</f>
        <v>0</v>
      </c>
    </row>
    <row r="72" spans="1:6" x14ac:dyDescent="0.2">
      <c r="A72" s="101" t="s">
        <v>1390</v>
      </c>
      <c r="B72" s="129">
        <f ca="1">TODAY()</f>
        <v>43691</v>
      </c>
      <c r="E72" s="377" t="s">
        <v>936</v>
      </c>
      <c r="F72" s="378">
        <f>IF(B25=TRUE,B66,0)</f>
        <v>0</v>
      </c>
    </row>
    <row r="73" spans="1:6" ht="13.5" thickBot="1" x14ac:dyDescent="0.25">
      <c r="A73" s="101" t="s">
        <v>1391</v>
      </c>
      <c r="B73" s="86">
        <f ca="1">B72-B71</f>
        <v>226</v>
      </c>
      <c r="E73" s="379" t="s">
        <v>934</v>
      </c>
      <c r="F73" s="380">
        <f ca="1">+F71-F72</f>
        <v>0</v>
      </c>
    </row>
    <row r="74" spans="1:6" x14ac:dyDescent="0.2">
      <c r="A74" s="101" t="s">
        <v>1389</v>
      </c>
      <c r="B74">
        <f ca="1">IF(B73&gt;360,4,IF(B73&gt;270,3,IF(B73&gt;180,2,1)))</f>
        <v>2</v>
      </c>
      <c r="C74">
        <f ca="1">IF(F73&lt;0,0,F73)</f>
        <v>0</v>
      </c>
      <c r="E74" t="s">
        <v>935</v>
      </c>
    </row>
    <row r="75" spans="1:6" x14ac:dyDescent="0.2">
      <c r="A75" s="1582" t="s">
        <v>1418</v>
      </c>
      <c r="B75" s="1582"/>
    </row>
    <row r="76" spans="1:6" x14ac:dyDescent="0.2">
      <c r="A76" s="108" t="s">
        <v>1419</v>
      </c>
      <c r="B76" s="19" t="b">
        <f>IF('Complete This Page'!I162="",FALSE,TRUE)</f>
        <v>0</v>
      </c>
      <c r="D76" s="106"/>
    </row>
    <row r="77" spans="1:6" x14ac:dyDescent="0.2">
      <c r="A77" s="108" t="s">
        <v>1420</v>
      </c>
      <c r="B77" s="19" t="b">
        <f>IF('Complete This Page'!J167&gt;0,TRUE,FALSE)</f>
        <v>0</v>
      </c>
      <c r="D77" s="107"/>
      <c r="E77" t="s">
        <v>1421</v>
      </c>
    </row>
    <row r="78" spans="1:6" x14ac:dyDescent="0.2">
      <c r="A78" s="108">
        <f>IF(AND($B$76=FALSE,$B$77=FALSE),'Complete This Page'!D$165,0)</f>
        <v>0</v>
      </c>
      <c r="B78" s="108">
        <f>IF(AND($B$76=TRUE,$B$77=FALSE),'Complete This Page'!D$166,0)</f>
        <v>0</v>
      </c>
      <c r="C78">
        <f>IF($B$77=TRUE,'Complete This Page'!D$167,0)</f>
        <v>0</v>
      </c>
      <c r="D78" s="107"/>
      <c r="E78" s="19">
        <f>SUM(A78:D78)</f>
        <v>0</v>
      </c>
      <c r="F78">
        <f>+A40</f>
        <v>0</v>
      </c>
    </row>
    <row r="79" spans="1:6" x14ac:dyDescent="0.2">
      <c r="A79" s="108">
        <f>IF(AND($B$76=FALSE,$B$77=FALSE),'Complete This Page'!E$165,0)</f>
        <v>0</v>
      </c>
      <c r="B79" s="108">
        <f>IF(AND($B$76=TRUE,$B$77=FALSE),'Complete This Page'!E$166,0)</f>
        <v>0</v>
      </c>
      <c r="C79">
        <f>IF($B$77=TRUE,'Complete This Page'!E$167,0)</f>
        <v>0</v>
      </c>
      <c r="D79" s="107"/>
      <c r="E79" s="19">
        <f>SUM(A79:D79)</f>
        <v>0</v>
      </c>
      <c r="F79">
        <f>+A41</f>
        <v>0</v>
      </c>
    </row>
    <row r="80" spans="1:6" x14ac:dyDescent="0.2">
      <c r="A80" s="108">
        <f>IF(AND($B$76=FALSE,$B$77=FALSE),'Complete This Page'!F$165,0)</f>
        <v>0</v>
      </c>
      <c r="B80" s="108">
        <f>IF(AND($B$76=TRUE,$B$77=FALSE),'Complete This Page'!F$166,0)</f>
        <v>0</v>
      </c>
      <c r="C80">
        <f>IF($B$77=TRUE,'Complete This Page'!F$167,0)</f>
        <v>0</v>
      </c>
      <c r="D80" s="107"/>
      <c r="E80" s="19">
        <f>SUM(A80:D80)</f>
        <v>0</v>
      </c>
      <c r="F80">
        <f>+A42</f>
        <v>0</v>
      </c>
    </row>
    <row r="81" spans="1:6" x14ac:dyDescent="0.2">
      <c r="A81" s="108">
        <f>IF(AND($B$76=FALSE,$B$77=FALSE),'Complete This Page'!G$165,0)</f>
        <v>0</v>
      </c>
      <c r="B81" s="108">
        <f>IF(AND($B$76=TRUE,$B$77=FALSE),'Complete This Page'!G$166,0)</f>
        <v>0</v>
      </c>
      <c r="C81">
        <f>IF($B$77=TRUE,'Complete This Page'!G$167,0)</f>
        <v>0</v>
      </c>
      <c r="D81" s="107"/>
      <c r="E81" s="19">
        <f>SUM(A81:D81)</f>
        <v>0</v>
      </c>
      <c r="F81">
        <f>+A43</f>
        <v>0</v>
      </c>
    </row>
    <row r="82" spans="1:6" x14ac:dyDescent="0.2">
      <c r="A82" s="108">
        <f>IF(AND($B$76=FALSE,$B$77=FALSE),'Complete This Page'!H$165,0)</f>
        <v>0</v>
      </c>
      <c r="B82" s="108">
        <f>IF(AND($B$76=TRUE,$B$77=FALSE),'Complete This Page'!H$166,0)</f>
        <v>0</v>
      </c>
      <c r="C82">
        <f>IF($B$77=TRUE,'Complete This Page'!H$167,0)</f>
        <v>0</v>
      </c>
      <c r="D82" s="107"/>
      <c r="E82" s="19">
        <f>SUM(A82:D82)</f>
        <v>0</v>
      </c>
      <c r="F82">
        <f>+A44</f>
        <v>0</v>
      </c>
    </row>
    <row r="83" spans="1:6" ht="13.5" thickBot="1" x14ac:dyDescent="0.25">
      <c r="D83" s="7" t="s">
        <v>1255</v>
      </c>
      <c r="E83" s="109">
        <f>SUM(E78:E82)</f>
        <v>0</v>
      </c>
    </row>
    <row r="84" spans="1:6" ht="13.5" thickTop="1" x14ac:dyDescent="0.2"/>
    <row r="91" spans="1:6" x14ac:dyDescent="0.2">
      <c r="A91" s="64" t="s">
        <v>1085</v>
      </c>
      <c r="E91" t="s">
        <v>1334</v>
      </c>
    </row>
    <row r="92" spans="1:6" x14ac:dyDescent="0.2">
      <c r="A92" s="63" t="s">
        <v>1086</v>
      </c>
      <c r="C92">
        <f>IF('Complete This Page'!I48&lt;0,'Complete This Page'!I48,0)</f>
        <v>0</v>
      </c>
      <c r="D92" s="46">
        <f>+References!D279</f>
        <v>22</v>
      </c>
      <c r="E92" t="str">
        <f>+References!B279</f>
        <v>ST capital gain</v>
      </c>
    </row>
    <row r="93" spans="1:6" x14ac:dyDescent="0.2">
      <c r="A93" s="63" t="s">
        <v>1086</v>
      </c>
      <c r="C93">
        <f>IF('Complete This Page'!I49&lt;0,'Complete This Page'!I49,0)</f>
        <v>0</v>
      </c>
      <c r="D93" s="46">
        <f>+D92+1</f>
        <v>23</v>
      </c>
      <c r="E93" t="str">
        <f>+References!B280</f>
        <v>LT capital gain</v>
      </c>
    </row>
    <row r="94" spans="1:6" x14ac:dyDescent="0.2">
      <c r="A94" s="63" t="s">
        <v>1086</v>
      </c>
      <c r="C94">
        <f>IF('Complete This Page'!I50&lt;0,'Complete This Page'!I50,0)</f>
        <v>0</v>
      </c>
      <c r="D94" s="46">
        <f>+D93+1</f>
        <v>24</v>
      </c>
      <c r="E94" t="str">
        <f>+References!B281</f>
        <v>§1231 gain (loss)</v>
      </c>
    </row>
    <row r="95" spans="1:6" ht="13.5" thickBot="1" x14ac:dyDescent="0.25">
      <c r="C95" s="14">
        <f>SUM(C92:C94)</f>
        <v>0</v>
      </c>
    </row>
    <row r="96" spans="1:6" ht="13.5" thickTop="1" x14ac:dyDescent="0.2">
      <c r="C96" s="16"/>
    </row>
    <row r="97" spans="1:5" x14ac:dyDescent="0.2">
      <c r="C97" s="16"/>
    </row>
    <row r="99" spans="1:5" x14ac:dyDescent="0.2">
      <c r="A99" s="64" t="s">
        <v>1337</v>
      </c>
      <c r="E99" t="s">
        <v>1336</v>
      </c>
    </row>
    <row r="100" spans="1:5" x14ac:dyDescent="0.2">
      <c r="A100" s="63" t="s">
        <v>1338</v>
      </c>
      <c r="C100" s="126">
        <f>IF('Complete This Page'!I48&gt;0,'Complete This Page'!I48,0)</f>
        <v>0</v>
      </c>
      <c r="D100" s="46">
        <v>19</v>
      </c>
      <c r="E100" t="str">
        <f>+References!B279</f>
        <v>ST capital gain</v>
      </c>
    </row>
    <row r="101" spans="1:5" x14ac:dyDescent="0.2">
      <c r="A101" s="63" t="s">
        <v>1338</v>
      </c>
      <c r="C101" s="126">
        <f>IF('Complete This Page'!I49&gt;0,'Complete This Page'!I49,0)</f>
        <v>0</v>
      </c>
      <c r="D101" s="46">
        <f>+D100+1</f>
        <v>20</v>
      </c>
      <c r="E101" t="str">
        <f>+References!B280</f>
        <v>LT capital gain</v>
      </c>
    </row>
    <row r="102" spans="1:5" x14ac:dyDescent="0.2">
      <c r="A102" s="63" t="s">
        <v>1338</v>
      </c>
      <c r="C102" s="126">
        <f>IF('Complete This Page'!I50&gt;0,'Complete This Page'!I50,0)</f>
        <v>0</v>
      </c>
      <c r="D102" s="46">
        <f>+D101+1</f>
        <v>21</v>
      </c>
      <c r="E102" t="str">
        <f>+References!B281</f>
        <v>§1231 gain (loss)</v>
      </c>
    </row>
    <row r="103" spans="1:5" ht="13.5" thickBot="1" x14ac:dyDescent="0.25">
      <c r="C103" s="134">
        <f>SUM(C100:C102)</f>
        <v>0</v>
      </c>
    </row>
    <row r="104" spans="1:5" ht="13.5" thickTop="1" x14ac:dyDescent="0.2"/>
    <row r="106" spans="1:5" x14ac:dyDescent="0.2">
      <c r="A106" s="105" t="s">
        <v>104</v>
      </c>
      <c r="C106" s="86">
        <f>'Complete This Page'!I62</f>
        <v>0</v>
      </c>
      <c r="E106" t="s">
        <v>1340</v>
      </c>
    </row>
    <row r="107" spans="1:5" x14ac:dyDescent="0.2">
      <c r="A107" s="63" t="s">
        <v>99</v>
      </c>
      <c r="C107" s="87">
        <f>'Complete This Page'!I63</f>
        <v>0</v>
      </c>
      <c r="E107" t="s">
        <v>1341</v>
      </c>
    </row>
    <row r="108" spans="1:5" ht="13.5" thickBot="1" x14ac:dyDescent="0.25">
      <c r="C108" s="86">
        <f>IF((C106-C107)&gt;0,C106-C107,0)</f>
        <v>0</v>
      </c>
      <c r="E108" s="1" t="s">
        <v>100</v>
      </c>
    </row>
    <row r="109" spans="1:5" ht="13.5" thickBot="1" x14ac:dyDescent="0.25">
      <c r="A109" s="63" t="s">
        <v>1339</v>
      </c>
      <c r="C109" s="88">
        <f>ROUND(C108*0.2,0)</f>
        <v>0</v>
      </c>
      <c r="E109" t="s">
        <v>1342</v>
      </c>
    </row>
    <row r="111" spans="1:5" x14ac:dyDescent="0.2">
      <c r="A111" s="1583" t="s">
        <v>1343</v>
      </c>
      <c r="B111" s="1583"/>
      <c r="C111" s="89">
        <f>IF(OR(B12=TRUE,B13=TRUE),0,C109)</f>
        <v>0</v>
      </c>
      <c r="E111" t="s">
        <v>1344</v>
      </c>
    </row>
    <row r="114" spans="1:5" x14ac:dyDescent="0.2">
      <c r="A114" s="11" t="s">
        <v>56</v>
      </c>
    </row>
    <row r="116" spans="1:5" x14ac:dyDescent="0.2">
      <c r="A116" s="124" t="s">
        <v>659</v>
      </c>
      <c r="B116" s="125"/>
      <c r="C116" s="135">
        <f>'Complete This Page'!I42</f>
        <v>0</v>
      </c>
    </row>
    <row r="117" spans="1:5" x14ac:dyDescent="0.2">
      <c r="A117" s="124" t="s">
        <v>662</v>
      </c>
      <c r="B117" s="125"/>
      <c r="C117" s="135">
        <f>'Print Return'!L31-'Print Return'!L35</f>
        <v>0</v>
      </c>
    </row>
    <row r="118" spans="1:5" x14ac:dyDescent="0.2">
      <c r="A118" s="124" t="s">
        <v>660</v>
      </c>
      <c r="B118" s="125" t="s">
        <v>661</v>
      </c>
      <c r="C118" s="135">
        <f>-'Complete This Page'!I53</f>
        <v>0</v>
      </c>
    </row>
    <row r="119" spans="1:5" x14ac:dyDescent="0.2">
      <c r="A119" s="124" t="s">
        <v>654</v>
      </c>
      <c r="B119" s="125" t="s">
        <v>661</v>
      </c>
      <c r="C119" s="136">
        <f>-'Complete This Page'!I55</f>
        <v>0</v>
      </c>
    </row>
    <row r="120" spans="1:5" x14ac:dyDescent="0.2">
      <c r="A120" s="94" t="s">
        <v>664</v>
      </c>
      <c r="B120" s="125" t="s">
        <v>663</v>
      </c>
      <c r="C120" s="135">
        <f>SUM(C116:C119)</f>
        <v>0</v>
      </c>
      <c r="E120" t="s">
        <v>665</v>
      </c>
    </row>
    <row r="121" spans="1:5" x14ac:dyDescent="0.2">
      <c r="A121" s="124"/>
      <c r="B121" s="125"/>
    </row>
    <row r="122" spans="1:5" x14ac:dyDescent="0.2">
      <c r="A122" s="124" t="s">
        <v>660</v>
      </c>
      <c r="B122" s="125" t="s">
        <v>661</v>
      </c>
      <c r="C122" s="126">
        <f>'Complete This Page'!I53</f>
        <v>0</v>
      </c>
      <c r="E122" t="s">
        <v>666</v>
      </c>
    </row>
    <row r="123" spans="1:5" x14ac:dyDescent="0.2">
      <c r="A123" s="124" t="s">
        <v>667</v>
      </c>
      <c r="B123" s="125"/>
      <c r="C123" s="127"/>
      <c r="E123" t="s">
        <v>666</v>
      </c>
    </row>
    <row r="124" spans="1:5" x14ac:dyDescent="0.2">
      <c r="A124" s="124" t="s">
        <v>668</v>
      </c>
      <c r="B124" s="125"/>
      <c r="C124" s="128">
        <f>SUM(C122:C123)</f>
        <v>0</v>
      </c>
    </row>
    <row r="125" spans="1:5" x14ac:dyDescent="0.2">
      <c r="A125" s="124" t="s">
        <v>669</v>
      </c>
      <c r="B125" s="125"/>
      <c r="C125" s="128">
        <f>IF(C124&lt;C120,C124,C120)</f>
        <v>0</v>
      </c>
    </row>
    <row r="126" spans="1:5" x14ac:dyDescent="0.2">
      <c r="A126" s="124"/>
      <c r="B126" s="125"/>
      <c r="C126" s="128"/>
    </row>
    <row r="127" spans="1:5" x14ac:dyDescent="0.2">
      <c r="A127" s="124" t="s">
        <v>670</v>
      </c>
      <c r="B127" s="125"/>
      <c r="C127" s="137">
        <f>+C120-C125</f>
        <v>0</v>
      </c>
    </row>
    <row r="128" spans="1:5" x14ac:dyDescent="0.2">
      <c r="A128" s="124"/>
      <c r="B128" s="125"/>
      <c r="C128" s="128"/>
    </row>
    <row r="129" spans="1:6" x14ac:dyDescent="0.2">
      <c r="A129" s="124" t="s">
        <v>671</v>
      </c>
      <c r="B129" s="125"/>
      <c r="C129" s="128"/>
    </row>
    <row r="130" spans="1:6" x14ac:dyDescent="0.2">
      <c r="A130" s="124" t="s">
        <v>672</v>
      </c>
      <c r="B130" s="125"/>
      <c r="C130" s="128"/>
    </row>
    <row r="131" spans="1:6" x14ac:dyDescent="0.2">
      <c r="A131" s="124" t="s">
        <v>673</v>
      </c>
      <c r="B131" s="125"/>
      <c r="C131" s="128"/>
    </row>
    <row r="132" spans="1:6" x14ac:dyDescent="0.2">
      <c r="A132" s="124" t="s">
        <v>674</v>
      </c>
      <c r="B132" s="125"/>
      <c r="C132" s="128"/>
    </row>
    <row r="133" spans="1:6" x14ac:dyDescent="0.2">
      <c r="A133" s="124" t="s">
        <v>98</v>
      </c>
      <c r="B133" s="125"/>
      <c r="C133" s="128"/>
    </row>
    <row r="134" spans="1:6" x14ac:dyDescent="0.2">
      <c r="A134" s="124"/>
      <c r="B134" s="125"/>
      <c r="C134" s="128"/>
    </row>
    <row r="135" spans="1:6" x14ac:dyDescent="0.2">
      <c r="A135" s="124"/>
      <c r="B135" s="125"/>
      <c r="C135" s="128"/>
    </row>
    <row r="136" spans="1:6" ht="18" x14ac:dyDescent="0.25">
      <c r="A136" s="225" t="s">
        <v>393</v>
      </c>
      <c r="B136" s="226"/>
      <c r="C136" s="227"/>
    </row>
    <row r="137" spans="1:6" x14ac:dyDescent="0.2">
      <c r="A137" s="124"/>
      <c r="B137" s="125"/>
      <c r="C137" s="128"/>
    </row>
    <row r="138" spans="1:6" ht="44.25" customHeight="1" x14ac:dyDescent="0.2">
      <c r="A138" s="94" t="s">
        <v>394</v>
      </c>
      <c r="B138" s="125"/>
      <c r="C138" s="128"/>
      <c r="E138" s="823" t="s">
        <v>395</v>
      </c>
      <c r="F138" s="84" t="s">
        <v>396</v>
      </c>
    </row>
    <row r="139" spans="1:6" x14ac:dyDescent="0.2">
      <c r="A139" s="124"/>
      <c r="B139" s="125"/>
      <c r="C139" s="128"/>
    </row>
    <row r="140" spans="1:6" x14ac:dyDescent="0.2">
      <c r="A140" s="94" t="s">
        <v>654</v>
      </c>
      <c r="B140" s="125"/>
      <c r="C140" s="126"/>
    </row>
    <row r="141" spans="1:6" x14ac:dyDescent="0.2">
      <c r="A141" s="124" t="s">
        <v>386</v>
      </c>
      <c r="B141" s="125"/>
      <c r="C141" s="126">
        <f>+'Print Schedules'!J39</f>
        <v>0</v>
      </c>
    </row>
    <row r="142" spans="1:6" x14ac:dyDescent="0.2">
      <c r="A142" s="124" t="s">
        <v>387</v>
      </c>
      <c r="B142" s="125"/>
      <c r="C142" s="224">
        <f>SUM('Print Schedules'!D39:I39)</f>
        <v>0</v>
      </c>
    </row>
    <row r="143" spans="1:6" x14ac:dyDescent="0.2">
      <c r="A143" s="124" t="s">
        <v>389</v>
      </c>
      <c r="B143" s="125"/>
      <c r="C143" s="126">
        <f>+C141+C142</f>
        <v>0</v>
      </c>
    </row>
    <row r="144" spans="1:6" x14ac:dyDescent="0.2">
      <c r="A144" s="124" t="s">
        <v>388</v>
      </c>
      <c r="B144" s="125"/>
      <c r="C144" s="126">
        <f>+'Print Schedules'!L39-'Print Schedules'!L47</f>
        <v>0</v>
      </c>
    </row>
    <row r="145" spans="1:3" x14ac:dyDescent="0.2">
      <c r="A145" s="124"/>
      <c r="C145" s="126"/>
    </row>
    <row r="146" spans="1:3" x14ac:dyDescent="0.2">
      <c r="A146" s="124" t="s">
        <v>390</v>
      </c>
      <c r="C146" s="126">
        <f>IF(C144&gt;C141,0,C141-C144)</f>
        <v>0</v>
      </c>
    </row>
    <row r="147" spans="1:3" x14ac:dyDescent="0.2">
      <c r="A147" s="124" t="s">
        <v>391</v>
      </c>
      <c r="C147" s="224">
        <f>IF(C144&gt;C141,C144-C141,0)</f>
        <v>0</v>
      </c>
    </row>
    <row r="148" spans="1:3" x14ac:dyDescent="0.2">
      <c r="A148" s="124" t="s">
        <v>392</v>
      </c>
      <c r="C148" s="126">
        <f>+C146-C147</f>
        <v>0</v>
      </c>
    </row>
    <row r="149" spans="1:3" x14ac:dyDescent="0.2">
      <c r="C149" s="126"/>
    </row>
    <row r="150" spans="1:3" x14ac:dyDescent="0.2">
      <c r="A150" s="94" t="s">
        <v>660</v>
      </c>
    </row>
    <row r="151" spans="1:3" x14ac:dyDescent="0.2">
      <c r="A151" s="124" t="s">
        <v>386</v>
      </c>
      <c r="C151" s="86">
        <f>+'Complete This Page'!I53</f>
        <v>0</v>
      </c>
    </row>
    <row r="152" spans="1:3" x14ac:dyDescent="0.2">
      <c r="A152" s="124" t="s">
        <v>408</v>
      </c>
      <c r="C152" s="86">
        <f>+'Complete This Page'!I54</f>
        <v>0</v>
      </c>
    </row>
    <row r="153" spans="1:3" x14ac:dyDescent="0.2">
      <c r="A153" s="124" t="s">
        <v>387</v>
      </c>
      <c r="C153" s="87">
        <f>SUM('Print Schedules'!D39:I39)</f>
        <v>0</v>
      </c>
    </row>
    <row r="154" spans="1:3" x14ac:dyDescent="0.2">
      <c r="A154" s="124" t="s">
        <v>389</v>
      </c>
      <c r="C154" s="86">
        <f>+C151+C153</f>
        <v>0</v>
      </c>
    </row>
    <row r="155" spans="1:3" x14ac:dyDescent="0.2">
      <c r="A155" s="124" t="s">
        <v>388</v>
      </c>
      <c r="C155" s="86">
        <f>+'Print Schedules'!K77+'Print Schedules'!K80</f>
        <v>0</v>
      </c>
    </row>
    <row r="156" spans="1:3" x14ac:dyDescent="0.2">
      <c r="A156" s="124"/>
    </row>
    <row r="157" spans="1:3" x14ac:dyDescent="0.2">
      <c r="A157" s="124" t="s">
        <v>390</v>
      </c>
      <c r="C157" s="126">
        <f>IF(C155&gt;C151,0,C151-C155)</f>
        <v>0</v>
      </c>
    </row>
    <row r="158" spans="1:3" x14ac:dyDescent="0.2">
      <c r="A158" s="124" t="s">
        <v>391</v>
      </c>
      <c r="C158" s="224">
        <f>IF(C155&gt;C151,C155-C151,0)</f>
        <v>0</v>
      </c>
    </row>
    <row r="159" spans="1:3" x14ac:dyDescent="0.2">
      <c r="A159" s="124" t="s">
        <v>392</v>
      </c>
      <c r="C159" s="126">
        <f>+C157-C158</f>
        <v>0</v>
      </c>
    </row>
    <row r="164" spans="1:6" ht="18" x14ac:dyDescent="0.25">
      <c r="A164" s="225" t="s">
        <v>405</v>
      </c>
      <c r="B164" s="226"/>
      <c r="C164" s="227"/>
    </row>
    <row r="165" spans="1:6" x14ac:dyDescent="0.2">
      <c r="A165" s="67" t="s">
        <v>1588</v>
      </c>
      <c r="B165" t="b">
        <v>0</v>
      </c>
    </row>
    <row r="166" spans="1:6" x14ac:dyDescent="0.2">
      <c r="A166" t="s">
        <v>456</v>
      </c>
      <c r="B166" s="161" t="b">
        <v>0</v>
      </c>
      <c r="C166" s="129">
        <f>+'Complete This Page'!I25</f>
        <v>0</v>
      </c>
    </row>
    <row r="167" spans="1:6" x14ac:dyDescent="0.2">
      <c r="A167" s="67" t="s">
        <v>1587</v>
      </c>
      <c r="B167" s="161" t="b">
        <v>0</v>
      </c>
    </row>
    <row r="168" spans="1:6" x14ac:dyDescent="0.2">
      <c r="A168" t="s">
        <v>600</v>
      </c>
      <c r="B168" s="161" t="b">
        <v>0</v>
      </c>
      <c r="C168" s="129">
        <f>+'Complete This Page'!I24</f>
        <v>0</v>
      </c>
    </row>
    <row r="169" spans="1:6" ht="24.75" customHeight="1" x14ac:dyDescent="0.2">
      <c r="A169" t="s">
        <v>809</v>
      </c>
      <c r="B169" s="161" t="b">
        <v>0</v>
      </c>
      <c r="C169" s="231"/>
    </row>
    <row r="170" spans="1:6" ht="64.5" customHeight="1" thickBot="1" x14ac:dyDescent="0.25">
      <c r="A170" s="729" t="s">
        <v>1586</v>
      </c>
      <c r="B170" s="161" t="b">
        <v>0</v>
      </c>
    </row>
    <row r="171" spans="1:6" ht="18" x14ac:dyDescent="0.25">
      <c r="A171" s="225" t="s">
        <v>1144</v>
      </c>
      <c r="B171" s="226"/>
      <c r="C171" s="227"/>
      <c r="D171" s="262"/>
      <c r="E171" s="262"/>
      <c r="F171" s="263"/>
    </row>
    <row r="172" spans="1:6" x14ac:dyDescent="0.2">
      <c r="A172" s="266"/>
      <c r="B172" s="16"/>
      <c r="C172" s="16"/>
      <c r="D172" s="16"/>
      <c r="E172" s="16"/>
      <c r="F172" s="264"/>
    </row>
    <row r="173" spans="1:6" ht="50.1" customHeight="1" x14ac:dyDescent="0.2">
      <c r="A173" s="271" t="s">
        <v>1145</v>
      </c>
      <c r="B173" s="272" t="b">
        <f>IF(C173&gt;0,TRUE,FALSE)</f>
        <v>0</v>
      </c>
      <c r="C173" s="273">
        <f>'Complete This Page'!J87</f>
        <v>0</v>
      </c>
      <c r="D173" s="16"/>
      <c r="E173" s="270" t="str">
        <f>CONCATENATE("Complete this section to reconcile the local RITA wages reported on Schedule Y to the local RITA wages reported by your payroll department throughout the ",E176,E179,".")</f>
        <v>Complete this section to reconcile the local RITA wages reported on Schedule Y to the local RITA wages reported by your payroll department throughout the year 2018.</v>
      </c>
      <c r="F173" s="264"/>
    </row>
    <row r="174" spans="1:6" x14ac:dyDescent="0.2">
      <c r="A174" s="266" t="s">
        <v>1146</v>
      </c>
      <c r="B174" s="16" t="b">
        <f>B49</f>
        <v>0</v>
      </c>
      <c r="C174" s="16"/>
      <c r="D174" s="16"/>
      <c r="E174" s="61"/>
      <c r="F174" s="264"/>
    </row>
    <row r="175" spans="1:6" x14ac:dyDescent="0.2">
      <c r="A175" s="266" t="s">
        <v>1147</v>
      </c>
      <c r="B175" s="16" t="b">
        <f>IF(A47="",FALSE,TRUE)</f>
        <v>0</v>
      </c>
      <c r="C175" s="269" t="str">
        <f>A47</f>
        <v/>
      </c>
      <c r="D175" s="16"/>
      <c r="E175" s="61"/>
      <c r="F175" s="264"/>
    </row>
    <row r="176" spans="1:6" x14ac:dyDescent="0.2">
      <c r="A176" s="266" t="s">
        <v>1148</v>
      </c>
      <c r="B176" s="16" t="b">
        <f>IF('Complete This Page'!J11&lt;&gt;"",TRUE,FALSE)</f>
        <v>0</v>
      </c>
      <c r="C176" s="276" t="str">
        <f>IF(B176=TRUE,'Complete This Page'!H11,"")</f>
        <v/>
      </c>
      <c r="D176" s="16" t="s">
        <v>1149</v>
      </c>
      <c r="E176" t="str">
        <f>IF(B176=FALSE,CONCATENATE("year ",'Complete This Page'!G11),"")</f>
        <v>year 2018</v>
      </c>
      <c r="F176" s="264"/>
    </row>
    <row r="177" spans="1:6" x14ac:dyDescent="0.2">
      <c r="A177" s="266"/>
      <c r="B177" s="16"/>
      <c r="C177" s="276" t="str">
        <f>IF(B176=TRUE,'Complete This Page'!J11,"")</f>
        <v/>
      </c>
      <c r="D177" s="16" t="s">
        <v>1149</v>
      </c>
      <c r="E177" s="16"/>
      <c r="F177" s="264"/>
    </row>
    <row r="178" spans="1:6" x14ac:dyDescent="0.2">
      <c r="A178" s="266"/>
      <c r="B178" s="16"/>
      <c r="C178" s="276" t="e">
        <f>CONCATENATE(MONTH(C176),"/",DAY(C176),"/",YEAR(C176))</f>
        <v>#VALUE!</v>
      </c>
      <c r="D178" s="16"/>
      <c r="E178" s="16"/>
      <c r="F178" s="264"/>
    </row>
    <row r="179" spans="1:6" x14ac:dyDescent="0.2">
      <c r="A179" s="266"/>
      <c r="B179" s="16"/>
      <c r="C179" s="276" t="e">
        <f>CONCATENATE(MONTH(C177),"/",DAY(C177),"/",YEAR(C177))</f>
        <v>#VALUE!</v>
      </c>
      <c r="D179" s="16"/>
      <c r="E179" s="61" t="str">
        <f>IF(B176=TRUE,CONCATENATE("twelve months beginning ",C178," and ending ",C179),"")</f>
        <v/>
      </c>
      <c r="F179" s="264"/>
    </row>
    <row r="180" spans="1:6" ht="50.1" customHeight="1" x14ac:dyDescent="0.2">
      <c r="A180" s="271" t="s">
        <v>1151</v>
      </c>
      <c r="B180" s="315" t="b">
        <v>0</v>
      </c>
      <c r="C180" s="272"/>
      <c r="D180" s="16"/>
      <c r="E180" s="270" t="str">
        <f>CONCATENATE("Complete this section to reconcile the wages reported on your Federal return to the local RITA wages reported by your payroll department throughout the ",E176,E179,".")</f>
        <v>Complete this section to reconcile the wages reported on your Federal return to the local RITA wages reported by your payroll department throughout the year 2018.</v>
      </c>
      <c r="F180" s="264"/>
    </row>
    <row r="181" spans="1:6" ht="50.1" customHeight="1" x14ac:dyDescent="0.2">
      <c r="A181" s="271" t="s">
        <v>1152</v>
      </c>
      <c r="B181" s="272"/>
      <c r="C181" s="272"/>
      <c r="D181" s="16"/>
      <c r="E181" s="270" t="str">
        <f>IF(B173=TRUE,E173,IF(B180=TRUE,E180,"Skip this section"))</f>
        <v>Skip this section</v>
      </c>
      <c r="F181" s="264"/>
    </row>
    <row r="182" spans="1:6" x14ac:dyDescent="0.2">
      <c r="A182" s="271"/>
      <c r="B182" s="272" t="s">
        <v>1163</v>
      </c>
      <c r="C182" s="272" t="s">
        <v>1164</v>
      </c>
      <c r="D182" s="16"/>
      <c r="E182" s="270"/>
      <c r="F182" s="283" t="s">
        <v>1161</v>
      </c>
    </row>
    <row r="183" spans="1:6" x14ac:dyDescent="0.2">
      <c r="A183" s="266">
        <f>IF('Complete This Page'!B142&lt;&gt;"",'Complete This Page'!B142,"No City Chosen")</f>
        <v>0</v>
      </c>
      <c r="B183" s="282">
        <f>IF('Complete This Page'!D142="",0,'Complete This Page'!D142)</f>
        <v>0</v>
      </c>
      <c r="C183" s="282">
        <f>IF('Complete This Page'!E142="",0,'Complete This Page'!E142)</f>
        <v>0</v>
      </c>
      <c r="D183" s="268"/>
      <c r="E183" s="61" t="s">
        <v>1158</v>
      </c>
      <c r="F183" s="284">
        <f>+B183-C183</f>
        <v>0</v>
      </c>
    </row>
    <row r="184" spans="1:6" x14ac:dyDescent="0.2">
      <c r="A184" s="266" t="str">
        <f>IF('Complete This Page'!B143&lt;&gt;"",'Complete This Page'!B143,"No City Chosen")</f>
        <v>No City Chosen</v>
      </c>
      <c r="B184" s="282">
        <f>IF('Complete This Page'!D143="",0,'Complete This Page'!D143)</f>
        <v>0</v>
      </c>
      <c r="C184" s="282">
        <f>IF('Complete This Page'!E143="",0,'Complete This Page'!E143)</f>
        <v>0</v>
      </c>
      <c r="D184" s="282"/>
      <c r="E184" s="61" t="s">
        <v>1159</v>
      </c>
      <c r="F184" s="284">
        <f>+B184-C184</f>
        <v>0</v>
      </c>
    </row>
    <row r="185" spans="1:6" x14ac:dyDescent="0.2">
      <c r="A185" s="266" t="str">
        <f>IF('Complete This Page'!B144&lt;&gt;"",'Complete This Page'!B144,"No City Chosen")</f>
        <v>No City Chosen</v>
      </c>
      <c r="B185" s="282">
        <f>IF('Complete This Page'!D144="",0,'Complete This Page'!D144)</f>
        <v>0</v>
      </c>
      <c r="C185" s="282">
        <f>IF('Complete This Page'!E144="",0,'Complete This Page'!E144)</f>
        <v>0</v>
      </c>
      <c r="D185" s="282"/>
      <c r="E185" s="16"/>
      <c r="F185" s="284">
        <f>+B185-C185</f>
        <v>0</v>
      </c>
    </row>
    <row r="186" spans="1:6" x14ac:dyDescent="0.2">
      <c r="A186" s="266" t="str">
        <f>IF('Complete This Page'!B145&lt;&gt;"",'Complete This Page'!B145,"No City Chosen")</f>
        <v>No City Chosen</v>
      </c>
      <c r="B186" s="282">
        <f>IF('Complete This Page'!D145="",0,'Complete This Page'!D145)</f>
        <v>0</v>
      </c>
      <c r="C186" s="282">
        <f>IF('Complete This Page'!E145="",0,'Complete This Page'!E145)</f>
        <v>0</v>
      </c>
      <c r="E186" s="282"/>
      <c r="F186" s="284">
        <f>+B186-C186</f>
        <v>0</v>
      </c>
    </row>
    <row r="187" spans="1:6" x14ac:dyDescent="0.2">
      <c r="A187" s="266" t="str">
        <f>IF('Complete This Page'!B146&lt;&gt;"",'Complete This Page'!B146,"No City Chosen")</f>
        <v>No City Chosen</v>
      </c>
      <c r="B187" s="282">
        <f>IF('Complete This Page'!D146="",0,'Complete This Page'!D146)</f>
        <v>0</v>
      </c>
      <c r="C187" s="282">
        <f>IF('Complete This Page'!E146="",0,'Complete This Page'!E146)</f>
        <v>0</v>
      </c>
      <c r="E187" s="282"/>
      <c r="F187" s="284">
        <f>+B187-C187</f>
        <v>0</v>
      </c>
    </row>
    <row r="188" spans="1:6" x14ac:dyDescent="0.2">
      <c r="A188" s="266"/>
      <c r="B188" s="268"/>
      <c r="C188" s="268"/>
      <c r="E188" s="282"/>
      <c r="F188" s="284"/>
    </row>
    <row r="189" spans="1:6" x14ac:dyDescent="0.2">
      <c r="A189" s="266"/>
      <c r="B189" s="268" t="s">
        <v>1193</v>
      </c>
      <c r="C189" s="268" t="s">
        <v>1164</v>
      </c>
      <c r="E189" s="282"/>
      <c r="F189" s="284"/>
    </row>
    <row r="190" spans="1:6" x14ac:dyDescent="0.2">
      <c r="A190" s="266" t="s">
        <v>1192</v>
      </c>
      <c r="B190" s="293">
        <f>+'Complete This Page'!I138</f>
        <v>0</v>
      </c>
      <c r="C190" s="293">
        <f>+'Complete This Page'!I139</f>
        <v>0</v>
      </c>
      <c r="D190" s="16"/>
      <c r="E190" s="61" t="s">
        <v>1194</v>
      </c>
      <c r="F190" s="284">
        <f>ABS(B190-C190)</f>
        <v>0</v>
      </c>
    </row>
    <row r="191" spans="1:6" ht="22.5" customHeight="1" x14ac:dyDescent="0.2">
      <c r="A191" s="266"/>
      <c r="B191" s="16"/>
      <c r="C191" s="16"/>
      <c r="D191" s="16"/>
      <c r="E191" s="294" t="str">
        <f>IF(B174=TRUE,IF(AND(F190&gt;4999,F191&gt;0.05),CONCATENATE("You must provide an explanation of the wage variance for the municipality of: ",C175,"."),""),E200)</f>
        <v/>
      </c>
      <c r="F191" s="285">
        <f>ABS(IF(B190&lt;&gt;0,1-(C190/B190),IF(C190&lt;&gt;0,1-(B190/C190),0)))</f>
        <v>0</v>
      </c>
    </row>
    <row r="192" spans="1:6" x14ac:dyDescent="0.2">
      <c r="A192" s="266"/>
      <c r="B192" s="16"/>
      <c r="C192" s="16"/>
      <c r="D192" s="16"/>
      <c r="E192" s="16"/>
      <c r="F192" s="284"/>
    </row>
    <row r="193" spans="1:6" x14ac:dyDescent="0.2">
      <c r="A193" s="266" t="s">
        <v>1160</v>
      </c>
      <c r="B193" s="16"/>
      <c r="C193" s="16"/>
      <c r="D193" s="16"/>
      <c r="E193" s="16"/>
      <c r="F193" s="283" t="s">
        <v>1162</v>
      </c>
    </row>
    <row r="194" spans="1:6" x14ac:dyDescent="0.2">
      <c r="A194" s="266">
        <f>IF('Complete This Page'!B142&lt;&gt;"",'Complete This Page'!B142,"No City Chosen")</f>
        <v>0</v>
      </c>
      <c r="B194" s="16" t="b">
        <f>IF(AND(ABS(F194)&gt;0.05,ABS(F183)&gt;4999),TRUE,FALSE)</f>
        <v>0</v>
      </c>
      <c r="C194" s="61" t="str">
        <f>IF(B194=TRUE,CONCATENATE(A194,", "),"")</f>
        <v/>
      </c>
      <c r="D194" s="16"/>
      <c r="E194" s="61" t="s">
        <v>1166</v>
      </c>
      <c r="F194" s="285">
        <f>IF(B183&lt;&gt;0,1-(C183/B183),IF(C183&lt;&gt;0,1-(B183/C183),0))</f>
        <v>0</v>
      </c>
    </row>
    <row r="195" spans="1:6" x14ac:dyDescent="0.2">
      <c r="A195" s="266" t="str">
        <f>IF('Complete This Page'!B143&lt;&gt;"",'Complete This Page'!B143,"No City Chosen")</f>
        <v>No City Chosen</v>
      </c>
      <c r="B195" s="16" t="b">
        <f>IF(AND(ABS(F195)&gt;0.05,ABS(F184)&gt;4999),TRUE,FALSE)</f>
        <v>0</v>
      </c>
      <c r="C195" s="61" t="str">
        <f>IF(B195=TRUE,CONCATENATE(C194,A195,", "),IF(C194&lt;&gt;"",C194,""))</f>
        <v/>
      </c>
      <c r="D195" s="16"/>
      <c r="E195" s="286" t="s">
        <v>1165</v>
      </c>
      <c r="F195" s="285">
        <f>IF(B184&lt;&gt;0,1-(C184/B184),IF(C184&lt;&gt;0,1-(B184/C184),0))</f>
        <v>0</v>
      </c>
    </row>
    <row r="196" spans="1:6" x14ac:dyDescent="0.2">
      <c r="A196" s="266" t="str">
        <f>IF('Complete This Page'!B144&lt;&gt;"",'Complete This Page'!B144,"No City Chosen")</f>
        <v>No City Chosen</v>
      </c>
      <c r="B196" s="16" t="b">
        <f>IF(AND(ABS(F196)&gt;0.05,ABS(F185)&gt;4999),TRUE,FALSE)</f>
        <v>0</v>
      </c>
      <c r="C196" s="61" t="str">
        <f>IF(B196=TRUE,CONCATENATE(C195,A196,", "),IF(C195&lt;&gt;"",C195,""))</f>
        <v/>
      </c>
      <c r="D196" s="16"/>
      <c r="E196" s="16"/>
      <c r="F196" s="285">
        <f>IF(B185&lt;&gt;0,1-(C185/B185),IF(C185&lt;&gt;0,1-(B185/C185),0))</f>
        <v>0</v>
      </c>
    </row>
    <row r="197" spans="1:6" x14ac:dyDescent="0.2">
      <c r="A197" s="266" t="str">
        <f>IF('Complete This Page'!B145&lt;&gt;"",'Complete This Page'!B145,"No City Chosen")</f>
        <v>No City Chosen</v>
      </c>
      <c r="B197" s="16" t="b">
        <f>IF(AND(ABS(F197)&gt;0.05,ABS(F186)&gt;4999),TRUE,FALSE)</f>
        <v>0</v>
      </c>
      <c r="C197" s="61" t="str">
        <f>IF(B197=TRUE,CONCATENATE(C196,A197,", "),IF(C196&lt;&gt;"",C196,""))</f>
        <v/>
      </c>
      <c r="D197" s="16"/>
      <c r="E197" s="120" t="s">
        <v>1167</v>
      </c>
      <c r="F197" s="285">
        <f>IF(B186&lt;&gt;0,1-(C186/B186),IF(C186&lt;&gt;0,1-(B186/C186),0))</f>
        <v>0</v>
      </c>
    </row>
    <row r="198" spans="1:6" x14ac:dyDescent="0.2">
      <c r="A198" s="266" t="str">
        <f>IF('Complete This Page'!B146&lt;&gt;"",'Complete This Page'!B146,"No City Chosen")</f>
        <v>No City Chosen</v>
      </c>
      <c r="B198" s="16" t="b">
        <f>IF(AND(ABS(F198)&gt;0.05,ABS(F187)&gt;4999),TRUE,FALSE)</f>
        <v>0</v>
      </c>
      <c r="C198" s="61" t="str">
        <f>IF(B198=TRUE,CONCATENATE(C197,A198,", "),IF(C197&lt;&gt;"",C197,""))</f>
        <v/>
      </c>
      <c r="D198" s="16"/>
      <c r="E198" s="276" t="str">
        <f>IF(C198&lt;&gt;"",LEFT(C198,LEN(C198)-2),"")</f>
        <v/>
      </c>
      <c r="F198" s="285">
        <f>IF(B187&lt;&gt;0,1-(C187/B187),IF(C187&lt;&gt;0,1-(B187/C187),0))</f>
        <v>0</v>
      </c>
    </row>
    <row r="199" spans="1:6" x14ac:dyDescent="0.2">
      <c r="A199" s="266"/>
      <c r="B199" s="16"/>
      <c r="C199" s="16"/>
      <c r="D199" s="16"/>
      <c r="E199" s="16"/>
      <c r="F199" s="285"/>
    </row>
    <row r="200" spans="1:6" ht="22.5" customHeight="1" x14ac:dyDescent="0.2">
      <c r="A200" s="266"/>
      <c r="B200" s="16"/>
      <c r="C200" s="16"/>
      <c r="D200" s="16"/>
      <c r="E200" s="294" t="str">
        <f>IF(E198&lt;&gt;"",CONCATENATE("You must provide an explanation of the variance(s) for the municipality(ies) of: ",E198,"."),"")</f>
        <v/>
      </c>
      <c r="F200" s="285"/>
    </row>
    <row r="201" spans="1:6" x14ac:dyDescent="0.2">
      <c r="A201" s="266"/>
      <c r="B201" s="16"/>
      <c r="C201" s="16"/>
      <c r="D201" s="16"/>
      <c r="E201" s="16"/>
      <c r="F201" s="285"/>
    </row>
    <row r="202" spans="1:6" x14ac:dyDescent="0.2">
      <c r="A202" s="266"/>
      <c r="B202" s="16"/>
      <c r="C202" s="16"/>
      <c r="D202" s="16"/>
      <c r="E202" s="16"/>
      <c r="F202" s="285"/>
    </row>
    <row r="203" spans="1:6" ht="13.5" thickBot="1" x14ac:dyDescent="0.25">
      <c r="A203" s="267"/>
      <c r="B203" s="253"/>
      <c r="C203" s="253"/>
      <c r="D203" s="253"/>
      <c r="E203" s="253"/>
      <c r="F203" s="265"/>
    </row>
    <row r="204" spans="1:6" x14ac:dyDescent="0.2">
      <c r="E204" t="e">
        <f>SUM('Complete This Page'!I67:I81=0)</f>
        <v>#VALUE!</v>
      </c>
      <c r="F204" s="86">
        <f>SUM('Complete This Page'!I67:J81)</f>
        <v>0</v>
      </c>
    </row>
    <row r="205" spans="1:6" ht="13.5" thickBot="1" x14ac:dyDescent="0.25"/>
    <row r="206" spans="1:6" ht="18" x14ac:dyDescent="0.25">
      <c r="A206" s="295" t="s">
        <v>1424</v>
      </c>
      <c r="B206" s="296"/>
      <c r="C206" s="297"/>
      <c r="D206" s="262"/>
      <c r="E206" s="262"/>
      <c r="F206" s="263"/>
    </row>
    <row r="207" spans="1:6" x14ac:dyDescent="0.2">
      <c r="A207" s="298"/>
      <c r="B207" s="299"/>
      <c r="C207" s="299"/>
      <c r="D207" s="299"/>
      <c r="E207" s="299"/>
      <c r="F207" s="300"/>
    </row>
    <row r="208" spans="1:6" x14ac:dyDescent="0.2">
      <c r="A208" s="1585" t="str">
        <f>CONCATENATE("Your return indicates a tax liability of $",'Print Return'!L53," before estimated tax payments and credit carryovers from prior years.")</f>
        <v>Your return indicates a tax liability of $0 before estimated tax payments and credit carryovers from prior years.</v>
      </c>
      <c r="B208" s="1586"/>
      <c r="C208" s="1586"/>
      <c r="D208" s="1586"/>
      <c r="E208" s="1586"/>
      <c r="F208" s="1587"/>
    </row>
    <row r="209" spans="1:6" x14ac:dyDescent="0.2">
      <c r="A209" s="1579"/>
      <c r="B209" s="1580"/>
      <c r="C209" s="1580"/>
      <c r="D209" s="1580"/>
      <c r="E209" s="1580"/>
      <c r="F209" s="1581"/>
    </row>
    <row r="210" spans="1:6" ht="24.95" customHeight="1" x14ac:dyDescent="0.2">
      <c r="A210" s="1588" t="str">
        <f>CONCATENATE("After appling your estimated tax payments of $",Data!B64," and credit carryovers from prior years of $",Data!B65,", your return indicates",Data!E68,Data!E69)</f>
        <v>After appling your estimated tax payments of $0 and credit carryovers from prior years of $0, your return indicates no tax due, and no overpayment for the current year.</v>
      </c>
      <c r="B210" s="1589"/>
      <c r="C210" s="1589"/>
      <c r="D210" s="1589"/>
      <c r="E210" s="1589"/>
      <c r="F210" s="1590"/>
    </row>
    <row r="211" spans="1:6" x14ac:dyDescent="0.2">
      <c r="A211" s="298"/>
      <c r="B211" s="299"/>
      <c r="C211" s="299"/>
      <c r="D211" s="299"/>
      <c r="E211" s="299"/>
      <c r="F211" s="300"/>
    </row>
    <row r="212" spans="1:6" x14ac:dyDescent="0.2">
      <c r="A212" s="1585" t="str">
        <f>IF(Data!B66&gt;0,Data!E64,"Skip this question: your return does not indicate an overpayment for the year, and thus you have no overpayment to refund or credit.")</f>
        <v>Skip this question: your return does not indicate an overpayment for the year, and thus you have no overpayment to refund or credit.</v>
      </c>
      <c r="B212" s="1586"/>
      <c r="C212" s="1586"/>
      <c r="D212" s="1586"/>
      <c r="E212" s="1586"/>
      <c r="F212" s="1587"/>
    </row>
    <row r="213" spans="1:6" x14ac:dyDescent="0.2">
      <c r="A213" s="298"/>
      <c r="B213" s="299"/>
      <c r="C213" s="299"/>
      <c r="D213" s="299"/>
      <c r="E213" s="299"/>
      <c r="F213" s="300"/>
    </row>
    <row r="214" spans="1:6" ht="24.95" customHeight="1" x14ac:dyDescent="0.2">
      <c r="A214" s="1576" t="str">
        <f>CONCATENATE("Based on the current year, your estimated tax liability for next year has been calculated as $",Data!B67,".  If your good faith estimate of the tax you will owe is different, enter it here:")</f>
        <v>Based on the current year, your estimated tax liability for next year has been calculated as $0.  If your good faith estimate of the tax you will owe is different, enter it here:</v>
      </c>
      <c r="B214" s="1577"/>
      <c r="C214" s="1577"/>
      <c r="D214" s="1577"/>
      <c r="E214" s="1577"/>
      <c r="F214" s="1578"/>
    </row>
    <row r="215" spans="1:6" x14ac:dyDescent="0.2">
      <c r="A215" s="298"/>
      <c r="B215" s="299"/>
      <c r="C215" s="299"/>
      <c r="D215" s="299"/>
      <c r="E215" s="299"/>
      <c r="F215" s="300"/>
    </row>
    <row r="216" spans="1:6" ht="24.95" customHeight="1" x14ac:dyDescent="0.2">
      <c r="A216" s="1576" t="str">
        <f>IF((I160+'Print Return'!L53)&gt;0,Data!E66,"Your return indicates that your credits were sufficient to cover your current year's tax and next year's estimated taxes.  No payment is required with your return.")</f>
        <v>Your return indicates that your credits were sufficient to cover your current year's tax and next year's estimated taxes.  No payment is required with your return.</v>
      </c>
      <c r="B216" s="1577"/>
      <c r="C216" s="1577"/>
      <c r="D216" s="1577"/>
      <c r="E216" s="1577"/>
      <c r="F216" s="1578"/>
    </row>
    <row r="217" spans="1:6" x14ac:dyDescent="0.2">
      <c r="A217" s="298"/>
      <c r="B217" s="299"/>
      <c r="C217" s="299"/>
      <c r="D217" s="299"/>
      <c r="E217" s="299"/>
      <c r="F217" s="300"/>
    </row>
    <row r="218" spans="1:6" ht="101.25" x14ac:dyDescent="0.2">
      <c r="A218" s="311" t="s">
        <v>281</v>
      </c>
      <c r="B218" s="312" t="b">
        <f>IF(B38=5,TRUE,FALSE)</f>
        <v>1</v>
      </c>
      <c r="C218" s="305" t="s">
        <v>278</v>
      </c>
      <c r="D218" s="299"/>
      <c r="E218" s="304" t="s">
        <v>287</v>
      </c>
      <c r="F218" s="300"/>
    </row>
    <row r="219" spans="1:6" ht="101.25" x14ac:dyDescent="0.2">
      <c r="A219" s="311" t="s">
        <v>280</v>
      </c>
      <c r="B219" s="312" t="b">
        <f>IF(AND(B48=FALSE, B221=FALSE,B222=FALSE,B223=FALSE,B224=FALSE),TRUE,FALSE)</f>
        <v>1</v>
      </c>
      <c r="C219" s="305" t="s">
        <v>279</v>
      </c>
      <c r="D219" s="299"/>
      <c r="E219" s="304" t="s">
        <v>283</v>
      </c>
      <c r="F219" s="300"/>
    </row>
    <row r="220" spans="1:6" x14ac:dyDescent="0.2">
      <c r="A220" s="373" t="s">
        <v>370</v>
      </c>
      <c r="B220" s="299"/>
      <c r="C220" s="299"/>
      <c r="D220" s="299"/>
      <c r="E220" s="299"/>
      <c r="F220" s="300"/>
    </row>
    <row r="221" spans="1:6" x14ac:dyDescent="0.2">
      <c r="A221" s="298" t="s">
        <v>366</v>
      </c>
      <c r="B221" s="299" t="b">
        <f>IF(AND('Complete This Page'!D84="",'Complete This Page'!E84="",'Complete This Page'!F84="",'Complete This Page'!G84="",'Complete This Page'!H84=""),FALSE,TRUE)</f>
        <v>0</v>
      </c>
      <c r="C221" s="299"/>
      <c r="D221" s="299"/>
      <c r="E221" s="299"/>
      <c r="F221" s="300"/>
    </row>
    <row r="222" spans="1:6" x14ac:dyDescent="0.2">
      <c r="A222" s="298" t="s">
        <v>367</v>
      </c>
      <c r="B222" s="299" t="b">
        <f>IF(AND('Complete This Page'!D85="",'Complete This Page'!E85="",'Complete This Page'!F85="",'Complete This Page'!G85="",'Complete This Page'!H85=""),FALSE,TRUE)</f>
        <v>0</v>
      </c>
      <c r="C222" s="299"/>
      <c r="D222" s="299"/>
      <c r="E222" s="299" t="s">
        <v>282</v>
      </c>
      <c r="F222" s="300"/>
    </row>
    <row r="223" spans="1:6" x14ac:dyDescent="0.2">
      <c r="A223" s="298" t="s">
        <v>368</v>
      </c>
      <c r="B223" s="299" t="b">
        <f>IF(AND('Complete This Page'!D87="",'Complete This Page'!E87="",'Complete This Page'!F87="",'Complete This Page'!G87="",'Complete This Page'!H87=""),FALSE,TRUE)</f>
        <v>0</v>
      </c>
      <c r="C223" s="299"/>
      <c r="D223" s="299"/>
      <c r="E223" s="299"/>
      <c r="F223" s="300"/>
    </row>
    <row r="224" spans="1:6" ht="13.5" thickBot="1" x14ac:dyDescent="0.25">
      <c r="A224" s="301" t="s">
        <v>369</v>
      </c>
      <c r="B224" s="302" t="b">
        <f>IF(AND('Complete This Page'!D88="",'Complete This Page'!E88="",'Complete This Page'!F88="",'Complete This Page'!G88="",'Complete This Page'!H88=""),FALSE,TRUE)</f>
        <v>0</v>
      </c>
      <c r="C224" s="302"/>
      <c r="D224" s="302"/>
      <c r="E224" s="302"/>
      <c r="F224" s="303"/>
    </row>
    <row r="226" spans="1:6" ht="13.5" thickBot="1" x14ac:dyDescent="0.25"/>
    <row r="227" spans="1:6" ht="18" x14ac:dyDescent="0.25">
      <c r="A227" s="295" t="s">
        <v>912</v>
      </c>
      <c r="B227" s="296"/>
      <c r="C227" s="297"/>
      <c r="D227" s="262"/>
      <c r="E227" s="262"/>
      <c r="F227" s="263"/>
    </row>
    <row r="228" spans="1:6" x14ac:dyDescent="0.2">
      <c r="A228" s="306"/>
      <c r="B228" s="16"/>
      <c r="C228" s="16"/>
      <c r="D228" s="16"/>
      <c r="E228" s="16"/>
      <c r="F228" s="264"/>
    </row>
    <row r="229" spans="1:6" x14ac:dyDescent="0.2">
      <c r="A229" s="266" t="s">
        <v>913</v>
      </c>
      <c r="B229" s="122">
        <f>IF(B176="","",IF(Data!B$49=TRUE,0,SUM('Complete This Page'!I$68:J$71)))</f>
        <v>0</v>
      </c>
      <c r="C229" s="61"/>
      <c r="D229" s="16"/>
      <c r="E229" s="16"/>
      <c r="F229" s="264"/>
    </row>
    <row r="230" spans="1:6" x14ac:dyDescent="0.2">
      <c r="A230" s="266" t="s">
        <v>914</v>
      </c>
      <c r="B230" s="252" t="str">
        <f>IF('Complete This Page'!D$87&lt;&gt;"",'Complete This Page'!D$87,"")</f>
        <v/>
      </c>
      <c r="C230" s="16" t="str">
        <f>IF(B$229=0,"n/a",ROUND(B230/B$229,6))</f>
        <v>n/a</v>
      </c>
      <c r="D230" s="16"/>
      <c r="E230" s="16"/>
      <c r="F230" s="264"/>
    </row>
    <row r="231" spans="1:6" x14ac:dyDescent="0.2">
      <c r="A231" s="266" t="s">
        <v>915</v>
      </c>
      <c r="B231" s="252" t="str">
        <f>IF('Complete This Page'!E$87&lt;&gt;"",'Complete This Page'!E$87,"")</f>
        <v/>
      </c>
      <c r="C231" s="16" t="str">
        <f>IF(B$229=0,"n/a",ROUND(B231/B$229,6))</f>
        <v>n/a</v>
      </c>
      <c r="D231" s="16"/>
      <c r="E231" s="16"/>
      <c r="F231" s="264"/>
    </row>
    <row r="232" spans="1:6" x14ac:dyDescent="0.2">
      <c r="A232" s="266" t="s">
        <v>916</v>
      </c>
      <c r="B232" s="252" t="str">
        <f>IF('Complete This Page'!F$87&lt;&gt;"",'Complete This Page'!F$87,"")</f>
        <v/>
      </c>
      <c r="C232" s="16" t="str">
        <f>IF(B$229=0,"n/a",ROUND(B232/B$229,6))</f>
        <v>n/a</v>
      </c>
      <c r="D232" s="16"/>
      <c r="E232" s="16"/>
      <c r="F232" s="264"/>
    </row>
    <row r="233" spans="1:6" x14ac:dyDescent="0.2">
      <c r="A233" s="266" t="s">
        <v>917</v>
      </c>
      <c r="B233" s="252" t="str">
        <f>IF('Complete This Page'!G$87&lt;&gt;"",'Complete This Page'!G$87,"")</f>
        <v/>
      </c>
      <c r="C233" s="16" t="str">
        <f>IF(B$229=0,"n/a",ROUND(B233/B$229,6))</f>
        <v>n/a</v>
      </c>
      <c r="D233" s="16"/>
      <c r="E233" s="16"/>
      <c r="F233" s="264"/>
    </row>
    <row r="234" spans="1:6" x14ac:dyDescent="0.2">
      <c r="A234" s="266" t="s">
        <v>918</v>
      </c>
      <c r="B234" s="252" t="str">
        <f>IF('Complete This Page'!H$87&lt;&gt;"",'Complete This Page'!H$87,"")</f>
        <v/>
      </c>
      <c r="C234" s="16" t="str">
        <f>IF(B$229=0,"n/a",ROUND(B234/B$229,6))</f>
        <v>n/a</v>
      </c>
      <c r="D234" s="16"/>
      <c r="E234" s="16"/>
      <c r="F234" s="264"/>
    </row>
    <row r="235" spans="1:6" x14ac:dyDescent="0.2">
      <c r="A235" s="306"/>
      <c r="B235" s="16"/>
      <c r="C235" s="16"/>
      <c r="D235" s="16"/>
      <c r="E235" s="16"/>
      <c r="F235" s="264"/>
    </row>
    <row r="236" spans="1:6" x14ac:dyDescent="0.2">
      <c r="A236" s="266" t="s">
        <v>919</v>
      </c>
      <c r="B236" s="122">
        <f>IF(B184="","",IF(Data!B$49=TRUE,0,'Complete This Page'!I$67))</f>
        <v>0</v>
      </c>
      <c r="C236" s="16"/>
      <c r="D236" s="16"/>
      <c r="E236" s="16"/>
      <c r="F236" s="264"/>
    </row>
    <row r="237" spans="1:6" x14ac:dyDescent="0.2">
      <c r="A237" s="266" t="s">
        <v>914</v>
      </c>
      <c r="B237" s="252" t="str">
        <f>IF('Complete This Page'!D$88&lt;&gt;"",'Complete This Page'!D$88,"")</f>
        <v/>
      </c>
      <c r="C237" s="16" t="str">
        <f>IF(B$236=0,"n/a",ROUND(B237/B$236,6))</f>
        <v>n/a</v>
      </c>
      <c r="D237" s="16"/>
      <c r="E237" s="16"/>
      <c r="F237" s="264"/>
    </row>
    <row r="238" spans="1:6" x14ac:dyDescent="0.2">
      <c r="A238" s="266" t="s">
        <v>915</v>
      </c>
      <c r="B238" s="252" t="str">
        <f>IF('Complete This Page'!E$88&lt;&gt;"",'Complete This Page'!E$88,"")</f>
        <v/>
      </c>
      <c r="C238" s="16" t="str">
        <f>IF(B$236=0,"n/a",ROUND(B238/B$236,6))</f>
        <v>n/a</v>
      </c>
      <c r="D238" s="16"/>
      <c r="E238" s="16"/>
      <c r="F238" s="264"/>
    </row>
    <row r="239" spans="1:6" x14ac:dyDescent="0.2">
      <c r="A239" s="266" t="s">
        <v>916</v>
      </c>
      <c r="B239" s="252" t="str">
        <f>IF('Complete This Page'!F$88&lt;&gt;"",'Complete This Page'!F$88,"")</f>
        <v/>
      </c>
      <c r="C239" s="16" t="str">
        <f>IF(B$236=0,"n/a",ROUND(B239/B$236,6))</f>
        <v>n/a</v>
      </c>
      <c r="D239" s="16"/>
      <c r="E239" s="16"/>
      <c r="F239" s="264"/>
    </row>
    <row r="240" spans="1:6" x14ac:dyDescent="0.2">
      <c r="A240" s="266" t="s">
        <v>917</v>
      </c>
      <c r="B240" s="252" t="str">
        <f>IF('Complete This Page'!G$88&lt;&gt;"",'Complete This Page'!G$88,"")</f>
        <v/>
      </c>
      <c r="C240" s="16" t="str">
        <f>IF(B$236=0,"n/a",ROUND(B240/B$236,6))</f>
        <v>n/a</v>
      </c>
      <c r="D240" s="16"/>
      <c r="E240" s="16"/>
      <c r="F240" s="264"/>
    </row>
    <row r="241" spans="1:6" x14ac:dyDescent="0.2">
      <c r="A241" s="266" t="s">
        <v>918</v>
      </c>
      <c r="B241" s="252" t="str">
        <f>IF('Complete This Page'!H$88&lt;&gt;"",'Complete This Page'!H$88,"")</f>
        <v/>
      </c>
      <c r="C241" s="16" t="str">
        <f>IF(B$236=0,"n/a",ROUND(B241/B$236,6))</f>
        <v>n/a</v>
      </c>
      <c r="D241" s="16"/>
      <c r="E241" s="16"/>
      <c r="F241" s="264"/>
    </row>
    <row r="242" spans="1:6" x14ac:dyDescent="0.2">
      <c r="A242" s="306"/>
      <c r="B242" s="16"/>
      <c r="C242" s="16"/>
      <c r="D242" s="16"/>
      <c r="E242" s="16"/>
      <c r="F242" s="264"/>
    </row>
    <row r="243" spans="1:6" ht="13.5" thickBot="1" x14ac:dyDescent="0.25">
      <c r="A243" s="307"/>
      <c r="B243" s="253"/>
      <c r="C243" s="253"/>
      <c r="D243" s="253"/>
      <c r="E243" s="253"/>
      <c r="F243" s="265"/>
    </row>
    <row r="244" spans="1:6" ht="13.5" thickBot="1" x14ac:dyDescent="0.25"/>
    <row r="245" spans="1:6" ht="18" x14ac:dyDescent="0.25">
      <c r="A245" s="295" t="s">
        <v>939</v>
      </c>
      <c r="B245" s="296"/>
      <c r="C245" s="297"/>
      <c r="D245" s="262"/>
      <c r="E245" s="262" t="s">
        <v>945</v>
      </c>
      <c r="F245" s="263"/>
    </row>
    <row r="246" spans="1:6" x14ac:dyDescent="0.2">
      <c r="A246" s="306"/>
      <c r="B246" s="309" t="s">
        <v>947</v>
      </c>
      <c r="C246" s="309"/>
      <c r="D246" s="16"/>
      <c r="E246" s="61"/>
      <c r="F246" s="313"/>
    </row>
    <row r="247" spans="1:6" ht="45" x14ac:dyDescent="0.2">
      <c r="A247" s="306" t="s">
        <v>940</v>
      </c>
      <c r="B247" s="308">
        <f>IF('Complete This Page'!D$83&lt;&gt;"",0,IF(('Complete This Page'!D$84+'Complete This Page'!D$85+'Complete This Page'!D$87+'Complete This Page'!D$88)&gt;0,1,0))</f>
        <v>0</v>
      </c>
      <c r="C247" s="308"/>
      <c r="D247" s="16">
        <v>1</v>
      </c>
      <c r="E247" s="270" t="s">
        <v>938</v>
      </c>
      <c r="F247" s="264"/>
    </row>
    <row r="248" spans="1:6" ht="45" x14ac:dyDescent="0.2">
      <c r="A248" s="306" t="s">
        <v>941</v>
      </c>
      <c r="B248" s="308">
        <f>IF('Complete This Page'!E$83&lt;&gt;"",0,IF(('Complete This Page'!E$84+'Complete This Page'!E$85+'Complete This Page'!E$87+'Complete This Page'!E$88)&gt;0,1,0))</f>
        <v>0</v>
      </c>
      <c r="C248" s="308"/>
      <c r="D248" s="16">
        <v>2</v>
      </c>
      <c r="E248" s="270" t="s">
        <v>946</v>
      </c>
      <c r="F248" s="264"/>
    </row>
    <row r="249" spans="1:6" x14ac:dyDescent="0.2">
      <c r="A249" s="306" t="s">
        <v>942</v>
      </c>
      <c r="B249" s="308">
        <f>IF('Complete This Page'!F$83&lt;&gt;"",0,IF(('Complete This Page'!F$84+'Complete This Page'!F$85+'Complete This Page'!F$87+'Complete This Page'!F$88)&gt;0,1,0))</f>
        <v>0</v>
      </c>
      <c r="C249" s="308"/>
      <c r="D249" s="16"/>
      <c r="E249" s="270"/>
      <c r="F249" s="264"/>
    </row>
    <row r="250" spans="1:6" x14ac:dyDescent="0.2">
      <c r="A250" s="306" t="s">
        <v>943</v>
      </c>
      <c r="B250" s="308">
        <f>IF('Complete This Page'!G$83&lt;&gt;"",0,IF(('Complete This Page'!G$84+'Complete This Page'!G$85+'Complete This Page'!G$87+'Complete This Page'!G$88)&gt;0,1,0))</f>
        <v>0</v>
      </c>
      <c r="C250" s="308"/>
      <c r="D250" s="16"/>
      <c r="E250" s="270"/>
      <c r="F250" s="264"/>
    </row>
    <row r="251" spans="1:6" x14ac:dyDescent="0.2">
      <c r="A251" s="306" t="s">
        <v>944</v>
      </c>
      <c r="B251" s="308">
        <f>IF('Complete This Page'!H$83&lt;&gt;"",0,IF(('Complete This Page'!H$84+'Complete This Page'!H$85+'Complete This Page'!H$87+'Complete This Page'!H$88)&gt;0,1,0))</f>
        <v>0</v>
      </c>
      <c r="C251" s="308"/>
      <c r="D251" s="16"/>
      <c r="E251" s="270"/>
      <c r="F251" s="264"/>
    </row>
    <row r="252" spans="1:6" ht="13.5" thickBot="1" x14ac:dyDescent="0.25">
      <c r="A252" s="306"/>
      <c r="B252" s="310">
        <f>SUM(B247:B251)</f>
        <v>0</v>
      </c>
      <c r="C252" s="308"/>
      <c r="D252" s="16" t="s">
        <v>285</v>
      </c>
      <c r="E252" s="294" t="str">
        <f>IF(B252&gt;0,E247,IF(B254&gt;0,E248,""))</f>
        <v/>
      </c>
      <c r="F252" s="264"/>
    </row>
    <row r="253" spans="1:6" ht="13.5" thickTop="1" x14ac:dyDescent="0.2">
      <c r="A253" s="306"/>
      <c r="B253" s="16"/>
      <c r="C253" s="16"/>
      <c r="D253" s="16"/>
      <c r="E253" s="77"/>
      <c r="F253" s="264"/>
    </row>
    <row r="254" spans="1:6" ht="33.75" x14ac:dyDescent="0.2">
      <c r="A254" s="306" t="s">
        <v>284</v>
      </c>
      <c r="B254" s="16">
        <f>IF(OR('Complete This Page'!J$89&gt;1.001,'Complete This Page'!J$90&gt;1.001,'Complete This Page'!J$91&gt;1.001),1,0)</f>
        <v>0</v>
      </c>
      <c r="C254" s="16"/>
      <c r="D254" s="16"/>
      <c r="E254" s="270" t="s">
        <v>277</v>
      </c>
      <c r="F254" s="264"/>
    </row>
    <row r="255" spans="1:6" ht="13.5" thickBot="1" x14ac:dyDescent="0.25">
      <c r="A255" s="307"/>
      <c r="B255" s="253"/>
      <c r="C255" s="253"/>
      <c r="D255" s="253"/>
      <c r="E255" s="253"/>
      <c r="F255" s="265"/>
    </row>
    <row r="257" spans="1:22" ht="13.5" thickBot="1" x14ac:dyDescent="0.25"/>
    <row r="258" spans="1:22" ht="18" x14ac:dyDescent="0.25">
      <c r="A258" s="295" t="s">
        <v>1215</v>
      </c>
      <c r="B258" s="496"/>
      <c r="C258" s="496"/>
      <c r="D258" s="262"/>
      <c r="E258" s="262"/>
      <c r="F258" s="262"/>
      <c r="G258" s="262"/>
      <c r="H258" s="263"/>
    </row>
    <row r="259" spans="1:22" x14ac:dyDescent="0.2">
      <c r="A259" s="497" t="s">
        <v>1218</v>
      </c>
      <c r="B259" s="59"/>
      <c r="C259" s="59"/>
      <c r="D259" s="16"/>
      <c r="E259" s="16"/>
      <c r="F259" s="16"/>
      <c r="G259" s="16"/>
      <c r="H259" s="264"/>
    </row>
    <row r="260" spans="1:22" x14ac:dyDescent="0.2">
      <c r="A260" s="497" t="s">
        <v>1219</v>
      </c>
      <c r="B260" s="59"/>
      <c r="C260" s="59"/>
      <c r="D260" s="16"/>
      <c r="E260" s="16"/>
      <c r="F260" s="16"/>
      <c r="G260" s="16"/>
      <c r="H260" s="264"/>
    </row>
    <row r="261" spans="1:22" ht="38.25" x14ac:dyDescent="0.2">
      <c r="A261" s="498" t="s">
        <v>166</v>
      </c>
      <c r="B261" s="494" t="s">
        <v>1216</v>
      </c>
      <c r="C261" s="494" t="s">
        <v>1226</v>
      </c>
      <c r="D261" s="495" t="s">
        <v>1217</v>
      </c>
      <c r="E261" s="493" t="s">
        <v>1228</v>
      </c>
      <c r="F261" s="494" t="s">
        <v>38</v>
      </c>
      <c r="G261" s="934" t="s">
        <v>34</v>
      </c>
      <c r="H261" s="933" t="s">
        <v>1768</v>
      </c>
    </row>
    <row r="262" spans="1:22" ht="38.25" customHeight="1" x14ac:dyDescent="0.2">
      <c r="A262" s="499">
        <f>+A40</f>
        <v>0</v>
      </c>
      <c r="B262" s="500">
        <f>LOOKUP(Data!$B$33,Cities!$A$3:$A$356,Cities!$D$3:$D$356)</f>
        <v>0</v>
      </c>
      <c r="C262" s="501">
        <f>IF(D262="Y","n/a",B262)</f>
        <v>0</v>
      </c>
      <c r="D262" s="502" t="str">
        <f>IF(E262="","",IF(ISERROR(SEARCH("due to tax rate change",E262,1)),"N",IF(SEARCH("due to tax rate change",E262,1)&gt;0,"Y","N")))</f>
        <v/>
      </c>
      <c r="E262" s="503" t="str">
        <f>'Tax Rate Calc'!$N$7</f>
        <v/>
      </c>
      <c r="F262" s="270" t="str">
        <f>IF(F$267="Supress","",G262)</f>
        <v/>
      </c>
      <c r="G262" s="270" t="str">
        <f>IF('Tax Rate Calc'!D7&lt;&gt;'Tax Rate Calc'!I7,CONCATENATE("Cannot use AutoCalc: ", IF(LEN('Tax Rate Calc'!B7)&gt;22,"",'Tax Rate Calc'!B7), " tax rate changed during tax year on ", TEXT(INDEX('Tax Rate Calc'!C15:'Tax Rate Calc'!L15,1,'Tax Rate Calc'!I7),"mm/dd/yyyy")),"")</f>
        <v/>
      </c>
      <c r="H262" s="935" t="str">
        <f>IF(AND(ISNUMBER('Complete This Page'!$G$11)=TRUE,'Complete This Page'!$G$11-Data!B40&lt;=5),CONCATENATE(Data!A40," last 0% tax rate year ",Data!B40,"; "),"")</f>
        <v/>
      </c>
    </row>
    <row r="263" spans="1:22" ht="38.25" customHeight="1" x14ac:dyDescent="0.2">
      <c r="A263" s="499">
        <f>+A41</f>
        <v>0</v>
      </c>
      <c r="B263" s="500">
        <f>LOOKUP(Data!$B$34,Cities!$A$3:$A$356,Cities!$D$3:$D$356)</f>
        <v>0</v>
      </c>
      <c r="C263" s="501">
        <f>IF(D263="Y","n/a",B263)</f>
        <v>0</v>
      </c>
      <c r="D263" s="502" t="str">
        <f>IF(E263="","",IF(ISERROR(SEARCH("due to tax rate change",E263,1)),"N",IF(SEARCH("due to tax rate change",E263,1)&gt;0,"Y","N")))</f>
        <v/>
      </c>
      <c r="E263" s="503" t="str">
        <f>'Tax Rate Calc'!N8</f>
        <v/>
      </c>
      <c r="F263" s="270" t="str">
        <f>IF(F$267="Supress","",G263)</f>
        <v/>
      </c>
      <c r="G263" s="270" t="str">
        <f>IF('Tax Rate Calc'!D8&lt;&gt;'Tax Rate Calc'!I8,CONCATENATE("Cannot use AutoCalc: ", IF(LEN('Tax Rate Calc'!B8)&gt;22,"",'Tax Rate Calc'!B8), " tax rate changed during tax year on ", TEXT(INDEX('Tax Rate Calc'!C16:'Tax Rate Calc'!L16,1,'Tax Rate Calc'!I8),"mm/dd/yyyy")),"")</f>
        <v/>
      </c>
      <c r="H263" s="935" t="str">
        <f>IF(AND(ISNUMBER('Complete This Page'!$G$11)=TRUE,'Complete This Page'!$G$11-Data!B41&lt;=5),CONCATENATE(Data!A41," last zero tax rate year ",Data!B41,"; "),"")</f>
        <v/>
      </c>
    </row>
    <row r="264" spans="1:22" ht="38.25" customHeight="1" x14ac:dyDescent="0.2">
      <c r="A264" s="499">
        <f>+A42</f>
        <v>0</v>
      </c>
      <c r="B264" s="500">
        <f>LOOKUP(Data!$B$35,Cities!$A$3:$A$356,Cities!$D$3:$D$356)</f>
        <v>0</v>
      </c>
      <c r="C264" s="501">
        <f>IF(D264="Y","n/a",B264)</f>
        <v>0</v>
      </c>
      <c r="D264" s="502" t="str">
        <f>IF(E264="","",IF(ISERROR(SEARCH("due to tax rate change",E264,1)),"N",IF(SEARCH("due to tax rate change",E264,1)&gt;0,"Y","N")))</f>
        <v/>
      </c>
      <c r="E264" s="503" t="str">
        <f>'Tax Rate Calc'!N9</f>
        <v/>
      </c>
      <c r="F264" s="270" t="str">
        <f>IF(F$267="Supress","",G264)</f>
        <v/>
      </c>
      <c r="G264" s="270" t="str">
        <f>IF('Tax Rate Calc'!D9&lt;&gt;'Tax Rate Calc'!I9,CONCATENATE("Cannot use AutoCalc: ", IF(LEN('Tax Rate Calc'!B9)&gt;22,"",'Tax Rate Calc'!B9), " tax rate changed during tax year on ", TEXT(INDEX('Tax Rate Calc'!C17:'Tax Rate Calc'!L17,1,'Tax Rate Calc'!I9),"mm/dd/yyyy")),"")</f>
        <v/>
      </c>
      <c r="H264" s="935" t="str">
        <f>IF(AND(ISNUMBER('Complete This Page'!$G$11)=TRUE,'Complete This Page'!$G$11-Data!B42&lt;=5),CONCATENATE(Data!A42," last zero tax rate year ",Data!B42,"; "),"")</f>
        <v/>
      </c>
    </row>
    <row r="265" spans="1:22" ht="38.25" customHeight="1" x14ac:dyDescent="0.2">
      <c r="A265" s="499">
        <f>+A43</f>
        <v>0</v>
      </c>
      <c r="B265" s="500">
        <f>LOOKUP(Data!$B$36,Cities!$A$3:$A$356,Cities!$D$3:$D$356)</f>
        <v>0</v>
      </c>
      <c r="C265" s="501">
        <f>IF(D265="Y","n/a",B265)</f>
        <v>0</v>
      </c>
      <c r="D265" s="502" t="str">
        <f>IF(E265="","",IF(ISERROR(SEARCH("due to tax rate change",E265,1)),"N",IF(SEARCH("due to tax rate change",E265,1)&gt;0,"Y","N")))</f>
        <v/>
      </c>
      <c r="E265" s="503" t="str">
        <f>'Tax Rate Calc'!N10</f>
        <v/>
      </c>
      <c r="F265" s="270" t="str">
        <f>IF(F$267="Supress","",G265)</f>
        <v/>
      </c>
      <c r="G265" s="270" t="str">
        <f>IF('Tax Rate Calc'!D10&lt;&gt;'Tax Rate Calc'!I10,CONCATENATE("Cannot use AutoCalc: ", IF(LEN('Tax Rate Calc'!B10)&gt;22,"",'Tax Rate Calc'!B10), " tax rate changed during tax year on ", TEXT(INDEX('Tax Rate Calc'!C18:'Tax Rate Calc'!L18,1,'Tax Rate Calc'!I10),"mm/dd/yyyy")),"")</f>
        <v/>
      </c>
      <c r="H265" s="935" t="str">
        <f>IF(AND(ISNUMBER('Complete This Page'!$G$11)=TRUE,'Complete This Page'!$G$11-Data!B43&lt;=5),CONCATENATE(Data!A43," last zero tax rate year ",Data!B43,"; "),"")</f>
        <v/>
      </c>
    </row>
    <row r="266" spans="1:22" ht="38.25" customHeight="1" x14ac:dyDescent="0.2">
      <c r="A266" s="499">
        <f>+A44</f>
        <v>0</v>
      </c>
      <c r="B266" s="500">
        <f>LOOKUP(Data!$B$37,Cities!$A$3:$A$356,Cities!$D$3:$D$356)</f>
        <v>0</v>
      </c>
      <c r="C266" s="501">
        <f>IF(D266="Y","n/a",B266)</f>
        <v>0</v>
      </c>
      <c r="D266" s="502" t="str">
        <f>IF(E266="","",IF(ISERROR(SEARCH("due to tax rate change",E266,1)),"N",IF(SEARCH("due to tax rate change",E266,1)&gt;0,"Y","N")))</f>
        <v/>
      </c>
      <c r="E266" s="503" t="str">
        <f>'Tax Rate Calc'!N11</f>
        <v/>
      </c>
      <c r="F266" s="270" t="str">
        <f>IF(F$267="Supress","",G266)</f>
        <v/>
      </c>
      <c r="G266" s="270" t="str">
        <f>IF('Tax Rate Calc'!D11&lt;&gt;'Tax Rate Calc'!I11,CONCATENATE("Cannot use AutoCalc: ", IF(LEN('Tax Rate Calc'!B11)&gt;22,"",'Tax Rate Calc'!B11), " tax rate changed during tax year on ", TEXT(INDEX('Tax Rate Calc'!C19:'Tax Rate Calc'!L19,1,'Tax Rate Calc'!I11),"mm/dd/yyyy")),"")</f>
        <v/>
      </c>
      <c r="H266" s="935" t="str">
        <f>IF(AND(ISNUMBER('Complete This Page'!$G$11)=TRUE,'Complete This Page'!$G$11-Data!B44&lt;=5),CONCATENATE(Data!A44," last zero tax rate year ",Data!B44,"; "),"")</f>
        <v/>
      </c>
    </row>
    <row r="267" spans="1:22" ht="38.25" x14ac:dyDescent="0.2">
      <c r="A267" s="499"/>
      <c r="B267" s="500"/>
      <c r="C267" s="501"/>
      <c r="D267" s="502"/>
      <c r="E267" s="503" t="s">
        <v>675</v>
      </c>
      <c r="F267" s="504" t="str">
        <f>IF(AND('Complete This Page'!G11="",'Complete This Page'!J11=""),"Supress","Show")</f>
        <v>Show</v>
      </c>
      <c r="G267" s="270"/>
      <c r="H267" s="264"/>
    </row>
    <row r="268" spans="1:22" ht="13.5" thickBot="1" x14ac:dyDescent="0.25">
      <c r="A268" s="307"/>
      <c r="B268" s="253"/>
      <c r="C268" s="253"/>
      <c r="D268" s="253"/>
      <c r="E268" s="253"/>
      <c r="F268" s="253"/>
      <c r="G268" s="253"/>
      <c r="H268" s="265"/>
    </row>
    <row r="270" spans="1:22" ht="13.5" thickBot="1" x14ac:dyDescent="0.25"/>
    <row r="271" spans="1:22" ht="18" x14ac:dyDescent="0.25">
      <c r="A271" s="295" t="s">
        <v>1710</v>
      </c>
      <c r="B271" s="496"/>
      <c r="C271" s="496"/>
      <c r="D271" s="496"/>
      <c r="E271" s="496"/>
      <c r="F271" s="496"/>
      <c r="G271" s="496"/>
      <c r="H271" s="496"/>
      <c r="I271" s="496"/>
      <c r="J271" s="496"/>
      <c r="K271" s="496"/>
      <c r="L271" s="496"/>
      <c r="M271" s="848"/>
      <c r="O271" s="295" t="s">
        <v>1711</v>
      </c>
      <c r="P271" s="496"/>
      <c r="Q271" s="496"/>
      <c r="R271" s="496"/>
      <c r="S271" s="496"/>
      <c r="T271" s="496"/>
      <c r="U271" s="496"/>
      <c r="V271" s="848"/>
    </row>
    <row r="272" spans="1:22" ht="63.75" x14ac:dyDescent="0.2">
      <c r="A272" s="849" t="s">
        <v>166</v>
      </c>
      <c r="B272" s="822" t="s">
        <v>1696</v>
      </c>
      <c r="C272" s="495" t="s">
        <v>1697</v>
      </c>
      <c r="D272" s="824" t="s">
        <v>1698</v>
      </c>
      <c r="E272" s="822" t="s">
        <v>1699</v>
      </c>
      <c r="F272" s="828" t="s">
        <v>1700</v>
      </c>
      <c r="G272" s="829" t="s">
        <v>1701</v>
      </c>
      <c r="H272" s="830" t="s">
        <v>1702</v>
      </c>
      <c r="I272" s="830" t="s">
        <v>1703</v>
      </c>
      <c r="J272" s="831" t="s">
        <v>1704</v>
      </c>
      <c r="K272" s="830" t="s">
        <v>1705</v>
      </c>
      <c r="L272" s="827" t="s">
        <v>1706</v>
      </c>
      <c r="M272" s="847" t="s">
        <v>1707</v>
      </c>
      <c r="O272" s="849" t="s">
        <v>166</v>
      </c>
      <c r="P272" s="822" t="s">
        <v>1769</v>
      </c>
      <c r="Q272" s="495" t="s">
        <v>1697</v>
      </c>
      <c r="R272" s="824" t="s">
        <v>1698</v>
      </c>
      <c r="S272" s="822" t="s">
        <v>1699</v>
      </c>
      <c r="T272" s="845" t="s">
        <v>1700</v>
      </c>
      <c r="U272" s="846" t="s">
        <v>1706</v>
      </c>
      <c r="V272" s="847" t="s">
        <v>1707</v>
      </c>
    </row>
    <row r="273" spans="1:22" x14ac:dyDescent="0.2">
      <c r="A273" s="271">
        <f>+A40</f>
        <v>0</v>
      </c>
      <c r="B273" s="857">
        <f>'Print Return'!L$37</f>
        <v>0</v>
      </c>
      <c r="C273" s="858" t="str">
        <f>IF(Data!B49=TRUE,1,'Print Return'!N210)</f>
        <v/>
      </c>
      <c r="D273" s="859">
        <f t="shared" ref="D273:D275" si="1">B273*IF(ISNUMBER(C273)=TRUE,C273,0)</f>
        <v>0</v>
      </c>
      <c r="E273" s="825">
        <f>IF('Complete This Page'!J99&lt;D273,'Complete This Page'!J99,D273)</f>
        <v>0</v>
      </c>
      <c r="F273" s="826">
        <f>D273-E273</f>
        <v>0</v>
      </c>
      <c r="G273" s="293">
        <f>IF(ISNUMBER(C273)=TRUE,F273 / C273,0)</f>
        <v>0</v>
      </c>
      <c r="H273" s="122">
        <f>'Print Return'!L$41</f>
        <v>0</v>
      </c>
      <c r="I273" s="293">
        <f>IF(B40&lt;2015,MIN(G273,H273)/2,MIN(G273,H273))</f>
        <v>0</v>
      </c>
      <c r="J273" s="293">
        <f>IF(G273-I273&gt;0,G273-I273,0)</f>
        <v>0</v>
      </c>
      <c r="K273" s="293">
        <f>J273*IF(ISNUMBER(C273)=TRUE,C273,0)</f>
        <v>0</v>
      </c>
      <c r="L273" s="860">
        <f>LOOKUP(Data!$B$33,Cities!$A$3:$A$356,Cities!$D$3:$D$356)</f>
        <v>0</v>
      </c>
      <c r="M273" s="861">
        <f>K273*L273</f>
        <v>0</v>
      </c>
      <c r="N273" s="1"/>
      <c r="O273" s="271">
        <f>+A40</f>
        <v>0</v>
      </c>
      <c r="P273" s="857">
        <f>IF(B40&lt;2015,'Print Return'!L$45,J273)</f>
        <v>0</v>
      </c>
      <c r="Q273" s="858" t="str">
        <f>IF(Data!B49=TRUE,1,'Print Return'!N210)</f>
        <v/>
      </c>
      <c r="R273" s="859">
        <f t="shared" ref="R273:R275" si="2">P273*IF(ISNUMBER(Q273)=TRUE,Q273,0)</f>
        <v>0</v>
      </c>
      <c r="S273" s="825">
        <f>'Complete This Page'!J99</f>
        <v>0</v>
      </c>
      <c r="T273" s="826">
        <f>IF(P273&gt;0,R273-S273,0)</f>
        <v>0</v>
      </c>
      <c r="U273" s="860">
        <f>LOOKUP(Data!$B$33,Cities!$A$3:$A$356,Cities!$D$3:$D$356)</f>
        <v>0</v>
      </c>
      <c r="V273" s="861">
        <f>T273*U273</f>
        <v>0</v>
      </c>
    </row>
    <row r="274" spans="1:22" x14ac:dyDescent="0.2">
      <c r="A274" s="271">
        <f>+A41</f>
        <v>0</v>
      </c>
      <c r="B274" s="857">
        <f>'Print Return'!L$37</f>
        <v>0</v>
      </c>
      <c r="C274" s="858" t="str">
        <f>'Print Return'!N211</f>
        <v/>
      </c>
      <c r="D274" s="859">
        <f t="shared" si="1"/>
        <v>0</v>
      </c>
      <c r="E274" s="825">
        <f>IF('Complete This Page'!J100&lt;D274,'Complete This Page'!J100,D274)</f>
        <v>0</v>
      </c>
      <c r="F274" s="826">
        <f t="shared" ref="F274:F277" si="3">D274-E274</f>
        <v>0</v>
      </c>
      <c r="G274" s="293">
        <f t="shared" ref="G274:G277" si="4">IF(ISNUMBER(C274)=TRUE,F274 / C274,0)</f>
        <v>0</v>
      </c>
      <c r="H274" s="122">
        <f>'Print Return'!L$41</f>
        <v>0</v>
      </c>
      <c r="I274" s="293">
        <f t="shared" ref="I274:I277" si="5">IF(B41&lt;2015,MIN(G274,H274)/2,MIN(G274,H274))</f>
        <v>0</v>
      </c>
      <c r="J274" s="293">
        <f t="shared" ref="J274:J277" si="6">IF(G274-I274&gt;0,G274-I274,0)</f>
        <v>0</v>
      </c>
      <c r="K274" s="293">
        <f t="shared" ref="K274:K277" si="7">J274*IF(ISNUMBER(C274)=TRUE,C274,0)</f>
        <v>0</v>
      </c>
      <c r="L274" s="860">
        <f>LOOKUP(Data!$B$34,Cities!$A$3:$A$356,Cities!$D$3:$D$356)</f>
        <v>0</v>
      </c>
      <c r="M274" s="861">
        <f t="shared" ref="M274:M277" si="8">K274*L274</f>
        <v>0</v>
      </c>
      <c r="N274" s="1"/>
      <c r="O274" s="271">
        <f>+A41</f>
        <v>0</v>
      </c>
      <c r="P274" s="857">
        <f>IF(B41&lt;2015,'Print Return'!L$45,J274)</f>
        <v>0</v>
      </c>
      <c r="Q274" s="858" t="str">
        <f>'Print Return'!N211</f>
        <v/>
      </c>
      <c r="R274" s="859">
        <f t="shared" si="2"/>
        <v>0</v>
      </c>
      <c r="S274" s="825">
        <f>'Complete This Page'!J100</f>
        <v>0</v>
      </c>
      <c r="T274" s="826">
        <f t="shared" ref="T274:T277" si="9">IF(P274&gt;0,R274-S274,0)</f>
        <v>0</v>
      </c>
      <c r="U274" s="860">
        <f>LOOKUP(Data!$B$34,Cities!$A$3:$A$356,Cities!$D$3:$D$356)</f>
        <v>0</v>
      </c>
      <c r="V274" s="861">
        <f t="shared" ref="V274:V277" si="10">T274*U274</f>
        <v>0</v>
      </c>
    </row>
    <row r="275" spans="1:22" x14ac:dyDescent="0.2">
      <c r="A275" s="271">
        <f>+A42</f>
        <v>0</v>
      </c>
      <c r="B275" s="857">
        <f>'Print Return'!L$37</f>
        <v>0</v>
      </c>
      <c r="C275" s="858" t="str">
        <f>'Print Return'!N212</f>
        <v/>
      </c>
      <c r="D275" s="859">
        <f t="shared" si="1"/>
        <v>0</v>
      </c>
      <c r="E275" s="825">
        <f>IF('Complete This Page'!J101&lt;D275,'Complete This Page'!J101,D275)</f>
        <v>0</v>
      </c>
      <c r="F275" s="826">
        <f t="shared" si="3"/>
        <v>0</v>
      </c>
      <c r="G275" s="293">
        <f t="shared" si="4"/>
        <v>0</v>
      </c>
      <c r="H275" s="122">
        <f>'Print Return'!L$41</f>
        <v>0</v>
      </c>
      <c r="I275" s="293">
        <f t="shared" si="5"/>
        <v>0</v>
      </c>
      <c r="J275" s="293">
        <f t="shared" si="6"/>
        <v>0</v>
      </c>
      <c r="K275" s="293">
        <f t="shared" si="7"/>
        <v>0</v>
      </c>
      <c r="L275" s="860">
        <f>LOOKUP(Data!$B$35,Cities!$A$3:$A$356,Cities!$D$3:$D$356)</f>
        <v>0</v>
      </c>
      <c r="M275" s="861">
        <f t="shared" si="8"/>
        <v>0</v>
      </c>
      <c r="N275" s="1"/>
      <c r="O275" s="271">
        <f>+A42</f>
        <v>0</v>
      </c>
      <c r="P275" s="857">
        <f>IF(B42&lt;2015,'Print Return'!L$45,J275)</f>
        <v>0</v>
      </c>
      <c r="Q275" s="858" t="str">
        <f>'Print Return'!N212</f>
        <v/>
      </c>
      <c r="R275" s="859">
        <f t="shared" si="2"/>
        <v>0</v>
      </c>
      <c r="S275" s="825">
        <f>'Complete This Page'!J101</f>
        <v>0</v>
      </c>
      <c r="T275" s="826">
        <f t="shared" si="9"/>
        <v>0</v>
      </c>
      <c r="U275" s="860">
        <f>LOOKUP(Data!$B$35,Cities!$A$3:$A$356,Cities!$D$3:$D$356)</f>
        <v>0</v>
      </c>
      <c r="V275" s="861">
        <f t="shared" si="10"/>
        <v>0</v>
      </c>
    </row>
    <row r="276" spans="1:22" x14ac:dyDescent="0.2">
      <c r="A276" s="271">
        <f>+A43</f>
        <v>0</v>
      </c>
      <c r="B276" s="857">
        <f>'Print Return'!L$37</f>
        <v>0</v>
      </c>
      <c r="C276" s="858" t="str">
        <f>'Print Return'!N213</f>
        <v/>
      </c>
      <c r="D276" s="859">
        <f>B276*IF(ISNUMBER(C276)=TRUE,C276,0)</f>
        <v>0</v>
      </c>
      <c r="E276" s="825">
        <f>IF('Complete This Page'!J102&lt;D276,'Complete This Page'!J102,D276)</f>
        <v>0</v>
      </c>
      <c r="F276" s="826">
        <f t="shared" si="3"/>
        <v>0</v>
      </c>
      <c r="G276" s="293">
        <f t="shared" si="4"/>
        <v>0</v>
      </c>
      <c r="H276" s="122">
        <f>'Print Return'!L$41</f>
        <v>0</v>
      </c>
      <c r="I276" s="293">
        <f t="shared" si="5"/>
        <v>0</v>
      </c>
      <c r="J276" s="293">
        <f t="shared" si="6"/>
        <v>0</v>
      </c>
      <c r="K276" s="293">
        <f t="shared" si="7"/>
        <v>0</v>
      </c>
      <c r="L276" s="860">
        <f>LOOKUP(Data!$B$36,Cities!$A$3:$A$356,Cities!$D$3:$D$356)</f>
        <v>0</v>
      </c>
      <c r="M276" s="861">
        <f t="shared" si="8"/>
        <v>0</v>
      </c>
      <c r="N276" s="1"/>
      <c r="O276" s="271">
        <f>+A43</f>
        <v>0</v>
      </c>
      <c r="P276" s="857">
        <f>IF(B43&lt;2015,'Print Return'!L$45,J276)</f>
        <v>0</v>
      </c>
      <c r="Q276" s="858" t="str">
        <f>'Print Return'!N213</f>
        <v/>
      </c>
      <c r="R276" s="859">
        <f>P276*IF(ISNUMBER(Q276)=TRUE,Q276,0)</f>
        <v>0</v>
      </c>
      <c r="S276" s="825">
        <f>'Complete This Page'!J102</f>
        <v>0</v>
      </c>
      <c r="T276" s="826">
        <f t="shared" si="9"/>
        <v>0</v>
      </c>
      <c r="U276" s="860">
        <f>LOOKUP(Data!$B$36,Cities!$A$3:$A$356,Cities!$D$3:$D$356)</f>
        <v>0</v>
      </c>
      <c r="V276" s="861">
        <f t="shared" si="10"/>
        <v>0</v>
      </c>
    </row>
    <row r="277" spans="1:22" x14ac:dyDescent="0.2">
      <c r="A277" s="271">
        <f>+A44</f>
        <v>0</v>
      </c>
      <c r="B277" s="857">
        <f>'Print Return'!L$37</f>
        <v>0</v>
      </c>
      <c r="C277" s="858" t="str">
        <f>'Print Return'!N214</f>
        <v/>
      </c>
      <c r="D277" s="859">
        <f>B277*IF(ISNUMBER(C277)=TRUE,C277,0)</f>
        <v>0</v>
      </c>
      <c r="E277" s="825">
        <f>IF('Complete This Page'!J103&lt;D277,'Complete This Page'!J103,D277)</f>
        <v>0</v>
      </c>
      <c r="F277" s="826">
        <f t="shared" si="3"/>
        <v>0</v>
      </c>
      <c r="G277" s="293">
        <f t="shared" si="4"/>
        <v>0</v>
      </c>
      <c r="H277" s="122">
        <f>'Print Return'!L$41</f>
        <v>0</v>
      </c>
      <c r="I277" s="293">
        <f t="shared" si="5"/>
        <v>0</v>
      </c>
      <c r="J277" s="293">
        <f t="shared" si="6"/>
        <v>0</v>
      </c>
      <c r="K277" s="293">
        <f t="shared" si="7"/>
        <v>0</v>
      </c>
      <c r="L277" s="860">
        <f>LOOKUP(Data!$B$37,Cities!$A$3:$A$356,Cities!$D$3:$D$356)</f>
        <v>0</v>
      </c>
      <c r="M277" s="861">
        <f t="shared" si="8"/>
        <v>0</v>
      </c>
      <c r="N277" s="1"/>
      <c r="O277" s="271">
        <f>+A44</f>
        <v>0</v>
      </c>
      <c r="P277" s="857">
        <f>IF(B44&lt;2015,'Print Return'!L$45,J277)</f>
        <v>0</v>
      </c>
      <c r="Q277" s="858" t="str">
        <f>'Print Return'!N214</f>
        <v/>
      </c>
      <c r="R277" s="859">
        <f>P277*IF(ISNUMBER(Q277)=TRUE,Q277,0)</f>
        <v>0</v>
      </c>
      <c r="S277" s="825">
        <f>'Complete This Page'!J103</f>
        <v>0</v>
      </c>
      <c r="T277" s="826">
        <f t="shared" si="9"/>
        <v>0</v>
      </c>
      <c r="U277" s="860">
        <f>LOOKUP(Data!$B$37,Cities!$A$3:$A$356,Cities!$D$3:$D$356)</f>
        <v>0</v>
      </c>
      <c r="V277" s="861">
        <f t="shared" si="10"/>
        <v>0</v>
      </c>
    </row>
    <row r="278" spans="1:22" x14ac:dyDescent="0.2">
      <c r="A278" s="271"/>
      <c r="B278" s="860"/>
      <c r="C278" s="866"/>
      <c r="D278" s="867"/>
      <c r="E278" s="868"/>
      <c r="F278" s="504"/>
      <c r="G278" s="270"/>
      <c r="H278" s="842"/>
      <c r="I278" s="842"/>
      <c r="J278" s="842"/>
      <c r="K278" s="842"/>
      <c r="L278" s="842"/>
      <c r="M278" s="869"/>
      <c r="N278" s="1"/>
      <c r="O278" s="271"/>
      <c r="P278" s="860"/>
      <c r="Q278" s="866"/>
      <c r="R278" s="867"/>
      <c r="S278" s="868"/>
      <c r="T278" s="504"/>
      <c r="U278" s="842"/>
      <c r="V278" s="869"/>
    </row>
    <row r="279" spans="1:22" ht="13.5" thickBot="1" x14ac:dyDescent="0.25">
      <c r="A279" s="267" t="s">
        <v>1745</v>
      </c>
      <c r="B279" s="862"/>
      <c r="C279" s="892">
        <f>SUM(C273:C277,'Overflows Worksheet'!C50,'Overflows Worksheet'!C100,'Overflows Worksheet'!C150,'Overflows Worksheet'!C200,'Overflows Worksheet'!C250,'Overflows Worksheet'!C300,'Overflows Worksheet'!C350,'Overflows Worksheet'!C400)</f>
        <v>0</v>
      </c>
      <c r="D279" s="862"/>
      <c r="E279" s="863">
        <f>SUM(E273:E277,'Overflows Worksheet'!E50,'Overflows Worksheet'!E100,'Overflows Worksheet'!E150,'Overflows Worksheet'!E200,'Overflows Worksheet'!E250,'Overflows Worksheet'!E300,'Overflows Worksheet'!E350,'Overflows Worksheet'!E400)</f>
        <v>0</v>
      </c>
      <c r="F279" s="862"/>
      <c r="G279" s="862"/>
      <c r="H279" s="862"/>
      <c r="I279" s="862"/>
      <c r="J279" s="862"/>
      <c r="K279" s="865">
        <f>SUM(K273:K277,'Overflows Worksheet'!K50,'Overflows Worksheet'!K100,'Overflows Worksheet'!K150,'Overflows Worksheet'!K200,'Overflows Worksheet'!K250,'Overflows Worksheet'!K300,'Overflows Worksheet'!K350,'Overflows Worksheet'!K400)</f>
        <v>0</v>
      </c>
      <c r="L279" s="862"/>
      <c r="M279" s="864">
        <f>SUM(M273:M277,'Overflows Worksheet'!M50,'Overflows Worksheet'!M100,'Overflows Worksheet'!M150,'Overflows Worksheet'!M200,'Overflows Worksheet'!M250,'Overflows Worksheet'!M300,'Overflows Worksheet'!M350,'Overflows Worksheet'!M400)</f>
        <v>0</v>
      </c>
      <c r="N279" s="1"/>
      <c r="O279" s="267" t="s">
        <v>1745</v>
      </c>
      <c r="P279" s="862"/>
      <c r="Q279" s="892">
        <f>SUM(Q273:Q277,'Overflows Worksheet'!Q50,'Overflows Worksheet'!Q100,'Overflows Worksheet'!Q150,'Overflows Worksheet'!Q200,'Overflows Worksheet'!Q250,'Overflows Worksheet'!Q300,'Overflows Worksheet'!Q350,'Overflows Worksheet'!Q400)</f>
        <v>0</v>
      </c>
      <c r="R279" s="862"/>
      <c r="S279" s="863">
        <f>SUM(S273:S277,'Overflows Worksheet'!S50,'Overflows Worksheet'!S100,'Overflows Worksheet'!S150,'Overflows Worksheet'!S200,'Overflows Worksheet'!S250,'Overflows Worksheet'!S300,'Overflows Worksheet'!S350,'Overflows Worksheet'!S400)</f>
        <v>0</v>
      </c>
      <c r="T279" s="865">
        <f>SUM(T273:T277,'Overflows Worksheet'!T50,'Overflows Worksheet'!T100,'Overflows Worksheet'!T150,'Overflows Worksheet'!T200,'Overflows Worksheet'!T250,'Overflows Worksheet'!T300,'Overflows Worksheet'!T350,'Overflows Worksheet'!T400)</f>
        <v>0</v>
      </c>
      <c r="U279" s="862"/>
      <c r="V279" s="864">
        <f>SUM(V273:V277,'Overflows Worksheet'!V50,'Overflows Worksheet'!V100,'Overflows Worksheet'!V150,'Overflows Worksheet'!V200,'Overflows Worksheet'!V250,'Overflows Worksheet'!V300,'Overflows Worksheet'!V350,'Overflows Worksheet'!V400)</f>
        <v>0</v>
      </c>
    </row>
  </sheetData>
  <sheetProtection algorithmName="SHA-512" hashValue="gXKpBh9mVsu1YnzUsFhVZNiDbRcejBn3/T2rFIm2F/7YIGVIemBWJ2M0znCMKv8zHeDHFU1Ec663GlIO8md4Ww==" saltValue="hlJNUs08gVBEmTB/c+P+Kg==" spinCount="100000" sheet="1" objects="1" scenarios="1"/>
  <mergeCells count="9">
    <mergeCell ref="A216:F216"/>
    <mergeCell ref="A209:F209"/>
    <mergeCell ref="A75:B75"/>
    <mergeCell ref="A111:B111"/>
    <mergeCell ref="A57:B57"/>
    <mergeCell ref="A208:F208"/>
    <mergeCell ref="A210:F210"/>
    <mergeCell ref="A212:F212"/>
    <mergeCell ref="A214:F214"/>
  </mergeCells>
  <phoneticPr fontId="2" type="noConversion"/>
  <pageMargins left="0.75" right="0.75" top="1" bottom="1" header="0.5" footer="0.5"/>
  <pageSetup orientation="portrait"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10"/>
  <dimension ref="A1:U315"/>
  <sheetViews>
    <sheetView workbookViewId="0">
      <pane xSplit="4" ySplit="4" topLeftCell="O5" activePane="bottomRight" state="frozen"/>
      <selection activeCell="E31" sqref="E31"/>
      <selection pane="topRight" activeCell="E31" sqref="E31"/>
      <selection pane="bottomLeft" activeCell="E31" sqref="E31"/>
      <selection pane="bottomRight" activeCell="V5" sqref="V5"/>
    </sheetView>
  </sheetViews>
  <sheetFormatPr defaultRowHeight="12.75" x14ac:dyDescent="0.2"/>
  <cols>
    <col min="1" max="1" width="3.7109375" customWidth="1"/>
    <col min="2" max="2" width="25.7109375" customWidth="1"/>
    <col min="3" max="3" width="16.7109375" customWidth="1"/>
    <col min="4" max="4" width="3.7109375" customWidth="1"/>
    <col min="5" max="10" width="16.7109375" customWidth="1"/>
    <col min="11" max="12" width="16.7109375" style="152" customWidth="1"/>
    <col min="13" max="21" width="16.7109375" customWidth="1"/>
  </cols>
  <sheetData>
    <row r="1" spans="1:21" x14ac:dyDescent="0.2">
      <c r="B1" t="s">
        <v>182</v>
      </c>
      <c r="C1" s="58">
        <f>IF('Complete This Page'!G11="",YEAR('Complete This Page'!H11),'Complete This Page'!G11)</f>
        <v>2018</v>
      </c>
    </row>
    <row r="2" spans="1:21" x14ac:dyDescent="0.2">
      <c r="B2" t="s">
        <v>183</v>
      </c>
      <c r="C2" s="9">
        <f>IF(C1&lt;2004,2003,C1)</f>
        <v>2018</v>
      </c>
    </row>
    <row r="3" spans="1:21" x14ac:dyDescent="0.2">
      <c r="B3" t="s">
        <v>185</v>
      </c>
      <c r="C3" s="9" t="str">
        <f>IF(Data!B9=TRUE,1040,IF(Data!B10=TRUE,1041,IF(Data!B11=TRUE,1065,IF(Data!B12=TRUE,1120,IF(Data!B13=TRUE,"1120-A",IF(Data!B14=TRUE,"1120-REIT",IF(Data!B15=TRUE,"1120S","Other")))))))</f>
        <v>Other</v>
      </c>
    </row>
    <row r="4" spans="1:21" x14ac:dyDescent="0.2">
      <c r="E4" s="9">
        <v>2003</v>
      </c>
      <c r="F4" s="9">
        <v>2004</v>
      </c>
      <c r="G4" s="9">
        <v>2005</v>
      </c>
      <c r="H4" s="9">
        <v>2006</v>
      </c>
      <c r="I4" s="9">
        <v>2007</v>
      </c>
      <c r="J4" s="9">
        <v>2008</v>
      </c>
      <c r="K4" s="9">
        <v>2009</v>
      </c>
      <c r="L4" s="9">
        <v>2010</v>
      </c>
      <c r="M4" s="9">
        <v>2011</v>
      </c>
      <c r="N4" s="9">
        <v>2012</v>
      </c>
      <c r="O4" s="9">
        <v>2013</v>
      </c>
      <c r="P4" s="9">
        <v>2014</v>
      </c>
      <c r="Q4" s="9">
        <v>2015</v>
      </c>
      <c r="R4" s="9">
        <v>2016</v>
      </c>
      <c r="S4" s="9">
        <v>2017</v>
      </c>
      <c r="T4" s="735">
        <v>2018</v>
      </c>
      <c r="U4" s="749">
        <v>2019</v>
      </c>
    </row>
    <row r="5" spans="1:21" x14ac:dyDescent="0.2">
      <c r="A5" s="158" t="s">
        <v>184</v>
      </c>
      <c r="B5" s="150" t="s">
        <v>15</v>
      </c>
      <c r="E5" s="9">
        <v>2003</v>
      </c>
      <c r="F5" s="9">
        <v>2004</v>
      </c>
      <c r="G5" s="9">
        <v>2005</v>
      </c>
      <c r="H5" s="9">
        <v>2006</v>
      </c>
      <c r="I5" s="9">
        <v>2007</v>
      </c>
      <c r="J5" s="9">
        <v>2008</v>
      </c>
      <c r="K5" s="9">
        <v>2009</v>
      </c>
      <c r="L5" s="9">
        <v>2010</v>
      </c>
      <c r="M5" s="9">
        <v>2011</v>
      </c>
      <c r="N5" s="9">
        <v>2012</v>
      </c>
      <c r="O5" s="9">
        <v>2013</v>
      </c>
      <c r="P5" s="9">
        <v>2014</v>
      </c>
      <c r="Q5" s="9">
        <v>2015</v>
      </c>
      <c r="R5" s="9">
        <v>2016</v>
      </c>
      <c r="S5" s="9">
        <v>2017</v>
      </c>
      <c r="T5" s="735">
        <v>2018</v>
      </c>
      <c r="U5" s="749">
        <v>2019</v>
      </c>
    </row>
    <row r="6" spans="1:21" x14ac:dyDescent="0.2">
      <c r="A6">
        <v>2</v>
      </c>
      <c r="B6" s="45" t="s">
        <v>22</v>
      </c>
      <c r="C6" s="148" t="str">
        <f t="shared" ref="C6:C37" si="0">HLOOKUP($C$2,$E$5:$T$255,$A6,FALSE)</f>
        <v>Form 1041, Pg 1, Ln 17</v>
      </c>
      <c r="D6" s="46">
        <v>1</v>
      </c>
      <c r="E6" s="151" t="s">
        <v>702</v>
      </c>
      <c r="F6" s="142" t="s">
        <v>703</v>
      </c>
      <c r="G6" s="142" t="s">
        <v>703</v>
      </c>
      <c r="H6" s="142" t="s">
        <v>703</v>
      </c>
      <c r="I6" s="349" t="s">
        <v>703</v>
      </c>
      <c r="J6" s="142" t="s">
        <v>703</v>
      </c>
      <c r="K6" s="142" t="s">
        <v>703</v>
      </c>
      <c r="L6" s="142" t="s">
        <v>703</v>
      </c>
      <c r="M6" s="142" t="s">
        <v>703</v>
      </c>
      <c r="N6" s="142" t="s">
        <v>703</v>
      </c>
      <c r="O6" s="614" t="s">
        <v>703</v>
      </c>
      <c r="P6" s="682" t="s">
        <v>703</v>
      </c>
      <c r="Q6" s="696" t="s">
        <v>703</v>
      </c>
      <c r="R6" s="349" t="s">
        <v>703</v>
      </c>
      <c r="S6" s="349" t="s">
        <v>703</v>
      </c>
      <c r="T6" s="349" t="s">
        <v>703</v>
      </c>
      <c r="U6" s="349" t="s">
        <v>703</v>
      </c>
    </row>
    <row r="7" spans="1:21" x14ac:dyDescent="0.2">
      <c r="A7">
        <f>+A6+1</f>
        <v>3</v>
      </c>
      <c r="B7" s="45" t="s">
        <v>1261</v>
      </c>
      <c r="C7" s="148" t="str">
        <f t="shared" si="0"/>
        <v>From Schedules C, E &amp; F</v>
      </c>
      <c r="D7" s="46">
        <f t="shared" ref="D7:D39" si="1">+D6+1</f>
        <v>2</v>
      </c>
      <c r="E7" s="151" t="s">
        <v>702</v>
      </c>
      <c r="F7" s="142" t="s">
        <v>1267</v>
      </c>
      <c r="G7" s="142" t="s">
        <v>1267</v>
      </c>
      <c r="H7" s="142" t="s">
        <v>1267</v>
      </c>
      <c r="I7" s="349" t="s">
        <v>1267</v>
      </c>
      <c r="J7" s="349" t="s">
        <v>1463</v>
      </c>
      <c r="K7" s="349" t="s">
        <v>1463</v>
      </c>
      <c r="L7" s="349" t="s">
        <v>1463</v>
      </c>
      <c r="M7" s="349" t="s">
        <v>1463</v>
      </c>
      <c r="N7" s="349" t="s">
        <v>1463</v>
      </c>
      <c r="O7" s="682" t="s">
        <v>1463</v>
      </c>
      <c r="P7" s="682" t="s">
        <v>1463</v>
      </c>
      <c r="Q7" s="696" t="s">
        <v>1463</v>
      </c>
      <c r="R7" s="349" t="s">
        <v>1463</v>
      </c>
      <c r="S7" s="349" t="s">
        <v>1463</v>
      </c>
      <c r="T7" s="349" t="s">
        <v>1463</v>
      </c>
      <c r="U7" s="349" t="s">
        <v>1463</v>
      </c>
    </row>
    <row r="8" spans="1:21" x14ac:dyDescent="0.2">
      <c r="A8">
        <f t="shared" ref="A8:A73" si="2">+A7+1</f>
        <v>4</v>
      </c>
      <c r="B8" s="40" t="s">
        <v>9</v>
      </c>
      <c r="C8" s="148" t="str">
        <f t="shared" si="0"/>
        <v>Form 1041, Pg 1, Ln 1</v>
      </c>
      <c r="D8" s="46">
        <f t="shared" si="1"/>
        <v>3</v>
      </c>
      <c r="E8" s="151" t="s">
        <v>702</v>
      </c>
      <c r="F8" s="138" t="s">
        <v>684</v>
      </c>
      <c r="G8" s="138" t="s">
        <v>684</v>
      </c>
      <c r="H8" s="138" t="s">
        <v>684</v>
      </c>
      <c r="I8" s="141" t="s">
        <v>684</v>
      </c>
      <c r="J8" s="138" t="s">
        <v>684</v>
      </c>
      <c r="K8" s="138" t="s">
        <v>684</v>
      </c>
      <c r="L8" s="138" t="s">
        <v>684</v>
      </c>
      <c r="M8" s="138" t="s">
        <v>684</v>
      </c>
      <c r="N8" s="138" t="s">
        <v>684</v>
      </c>
      <c r="O8" s="613" t="s">
        <v>684</v>
      </c>
      <c r="P8" s="683" t="s">
        <v>684</v>
      </c>
      <c r="Q8" s="697" t="s">
        <v>684</v>
      </c>
      <c r="R8" s="141" t="s">
        <v>684</v>
      </c>
      <c r="S8" s="141" t="s">
        <v>684</v>
      </c>
      <c r="T8" s="141" t="s">
        <v>684</v>
      </c>
      <c r="U8" s="141" t="s">
        <v>684</v>
      </c>
    </row>
    <row r="9" spans="1:21" x14ac:dyDescent="0.2">
      <c r="A9">
        <f t="shared" si="2"/>
        <v>5</v>
      </c>
      <c r="B9" s="40" t="s">
        <v>10</v>
      </c>
      <c r="C9" s="148" t="str">
        <f t="shared" si="0"/>
        <v>Form 1041, Pg 1, Ln 2a</v>
      </c>
      <c r="D9" s="46">
        <f t="shared" si="1"/>
        <v>4</v>
      </c>
      <c r="E9" s="151" t="s">
        <v>702</v>
      </c>
      <c r="F9" s="138" t="s">
        <v>685</v>
      </c>
      <c r="G9" s="138" t="s">
        <v>685</v>
      </c>
      <c r="H9" s="138" t="s">
        <v>685</v>
      </c>
      <c r="I9" s="141" t="s">
        <v>685</v>
      </c>
      <c r="J9" s="138" t="s">
        <v>685</v>
      </c>
      <c r="K9" s="138" t="s">
        <v>685</v>
      </c>
      <c r="L9" s="138" t="s">
        <v>685</v>
      </c>
      <c r="M9" s="138" t="s">
        <v>685</v>
      </c>
      <c r="N9" s="138" t="s">
        <v>685</v>
      </c>
      <c r="O9" s="613" t="s">
        <v>685</v>
      </c>
      <c r="P9" s="683" t="s">
        <v>685</v>
      </c>
      <c r="Q9" s="697" t="s">
        <v>685</v>
      </c>
      <c r="R9" s="141" t="s">
        <v>685</v>
      </c>
      <c r="S9" s="141" t="s">
        <v>685</v>
      </c>
      <c r="T9" s="141" t="s">
        <v>685</v>
      </c>
      <c r="U9" s="141" t="s">
        <v>685</v>
      </c>
    </row>
    <row r="10" spans="1:21" x14ac:dyDescent="0.2">
      <c r="A10">
        <f t="shared" si="2"/>
        <v>6</v>
      </c>
      <c r="B10" s="40" t="s">
        <v>11</v>
      </c>
      <c r="C10" s="148" t="str">
        <f t="shared" si="0"/>
        <v>Part of Form 1041, Pg 1, Ln 5</v>
      </c>
      <c r="D10" s="46">
        <f t="shared" si="1"/>
        <v>5</v>
      </c>
      <c r="E10" s="151" t="s">
        <v>702</v>
      </c>
      <c r="F10" s="138" t="s">
        <v>762</v>
      </c>
      <c r="G10" s="138" t="s">
        <v>762</v>
      </c>
      <c r="H10" s="138" t="s">
        <v>762</v>
      </c>
      <c r="I10" s="141" t="s">
        <v>762</v>
      </c>
      <c r="J10" s="138" t="s">
        <v>762</v>
      </c>
      <c r="K10" s="138" t="s">
        <v>762</v>
      </c>
      <c r="L10" s="138" t="s">
        <v>762</v>
      </c>
      <c r="M10" s="138" t="s">
        <v>762</v>
      </c>
      <c r="N10" s="138" t="s">
        <v>762</v>
      </c>
      <c r="O10" s="613" t="s">
        <v>762</v>
      </c>
      <c r="P10" s="683" t="s">
        <v>762</v>
      </c>
      <c r="Q10" s="697" t="s">
        <v>762</v>
      </c>
      <c r="R10" s="141" t="s">
        <v>762</v>
      </c>
      <c r="S10" s="141" t="s">
        <v>762</v>
      </c>
      <c r="T10" s="141" t="s">
        <v>762</v>
      </c>
      <c r="U10" s="141" t="s">
        <v>762</v>
      </c>
    </row>
    <row r="11" spans="1:21" x14ac:dyDescent="0.2">
      <c r="A11">
        <f t="shared" si="2"/>
        <v>7</v>
      </c>
      <c r="B11" s="40" t="s">
        <v>112</v>
      </c>
      <c r="C11" s="148" t="str">
        <f t="shared" si="0"/>
        <v>Part of Form 1041, Pg 1, Ln 5</v>
      </c>
      <c r="D11" s="46">
        <f t="shared" si="1"/>
        <v>6</v>
      </c>
      <c r="E11" s="151" t="s">
        <v>702</v>
      </c>
      <c r="F11" s="138" t="s">
        <v>762</v>
      </c>
      <c r="G11" s="138" t="s">
        <v>762</v>
      </c>
      <c r="H11" s="138" t="s">
        <v>762</v>
      </c>
      <c r="I11" s="141" t="s">
        <v>762</v>
      </c>
      <c r="J11" s="138" t="s">
        <v>762</v>
      </c>
      <c r="K11" s="138" t="s">
        <v>762</v>
      </c>
      <c r="L11" s="138" t="s">
        <v>762</v>
      </c>
      <c r="M11" s="138" t="s">
        <v>762</v>
      </c>
      <c r="N11" s="138" t="s">
        <v>762</v>
      </c>
      <c r="O11" s="613" t="s">
        <v>762</v>
      </c>
      <c r="P11" s="683" t="s">
        <v>762</v>
      </c>
      <c r="Q11" s="697" t="s">
        <v>762</v>
      </c>
      <c r="R11" s="141" t="s">
        <v>762</v>
      </c>
      <c r="S11" s="141" t="s">
        <v>762</v>
      </c>
      <c r="T11" s="141" t="s">
        <v>762</v>
      </c>
      <c r="U11" s="141" t="s">
        <v>762</v>
      </c>
    </row>
    <row r="12" spans="1:21" x14ac:dyDescent="0.2">
      <c r="A12">
        <f t="shared" si="2"/>
        <v>8</v>
      </c>
      <c r="B12" s="40" t="s">
        <v>1201</v>
      </c>
      <c r="C12" s="148" t="str">
        <f t="shared" si="0"/>
        <v>Not Applicable</v>
      </c>
      <c r="D12" s="46">
        <f t="shared" si="1"/>
        <v>7</v>
      </c>
      <c r="E12" s="151" t="s">
        <v>702</v>
      </c>
      <c r="F12" s="138" t="s">
        <v>683</v>
      </c>
      <c r="G12" s="138" t="s">
        <v>683</v>
      </c>
      <c r="H12" s="138" t="s">
        <v>683</v>
      </c>
      <c r="I12" s="138" t="s">
        <v>683</v>
      </c>
      <c r="J12" s="138" t="s">
        <v>683</v>
      </c>
      <c r="K12" s="138" t="s">
        <v>683</v>
      </c>
      <c r="L12" s="138" t="s">
        <v>683</v>
      </c>
      <c r="M12" s="138" t="s">
        <v>683</v>
      </c>
      <c r="N12" s="138" t="s">
        <v>683</v>
      </c>
      <c r="O12" s="613" t="s">
        <v>683</v>
      </c>
      <c r="P12" s="683" t="s">
        <v>683</v>
      </c>
      <c r="Q12" s="697" t="s">
        <v>683</v>
      </c>
      <c r="R12" s="141" t="s">
        <v>683</v>
      </c>
      <c r="S12" s="141" t="s">
        <v>683</v>
      </c>
      <c r="T12" s="141" t="s">
        <v>683</v>
      </c>
      <c r="U12" s="141" t="s">
        <v>683</v>
      </c>
    </row>
    <row r="13" spans="1:21" x14ac:dyDescent="0.2">
      <c r="A13">
        <f t="shared" si="2"/>
        <v>9</v>
      </c>
      <c r="B13" s="40" t="s">
        <v>1202</v>
      </c>
      <c r="C13" s="148" t="str">
        <f t="shared" si="0"/>
        <v>From Schedules C, E &amp; F</v>
      </c>
      <c r="D13" s="46">
        <f t="shared" si="1"/>
        <v>8</v>
      </c>
      <c r="E13" s="151" t="s">
        <v>702</v>
      </c>
      <c r="F13" s="349" t="s">
        <v>1463</v>
      </c>
      <c r="G13" s="349" t="s">
        <v>1463</v>
      </c>
      <c r="H13" s="349" t="s">
        <v>1463</v>
      </c>
      <c r="I13" s="349" t="s">
        <v>1463</v>
      </c>
      <c r="J13" s="349" t="s">
        <v>1463</v>
      </c>
      <c r="K13" s="349" t="s">
        <v>1463</v>
      </c>
      <c r="L13" s="349" t="s">
        <v>1463</v>
      </c>
      <c r="M13" s="349" t="s">
        <v>1463</v>
      </c>
      <c r="N13" s="349" t="s">
        <v>1463</v>
      </c>
      <c r="O13" s="349" t="s">
        <v>1463</v>
      </c>
      <c r="P13" s="349" t="s">
        <v>1463</v>
      </c>
      <c r="Q13" s="696" t="s">
        <v>1463</v>
      </c>
      <c r="R13" s="349" t="s">
        <v>1463</v>
      </c>
      <c r="S13" s="349" t="s">
        <v>1463</v>
      </c>
      <c r="T13" s="349" t="s">
        <v>1463</v>
      </c>
      <c r="U13" s="349" t="s">
        <v>1463</v>
      </c>
    </row>
    <row r="14" spans="1:21" x14ac:dyDescent="0.2">
      <c r="A14">
        <f t="shared" si="2"/>
        <v>10</v>
      </c>
      <c r="B14" s="40" t="s">
        <v>1203</v>
      </c>
      <c r="C14" s="148" t="str">
        <f t="shared" si="0"/>
        <v>Not Applicable</v>
      </c>
      <c r="D14" s="46">
        <f t="shared" si="1"/>
        <v>9</v>
      </c>
      <c r="E14" s="151" t="s">
        <v>702</v>
      </c>
      <c r="F14" s="138" t="s">
        <v>683</v>
      </c>
      <c r="G14" s="138" t="s">
        <v>683</v>
      </c>
      <c r="H14" s="138" t="s">
        <v>683</v>
      </c>
      <c r="I14" s="138" t="s">
        <v>683</v>
      </c>
      <c r="J14" s="138" t="s">
        <v>683</v>
      </c>
      <c r="K14" s="138" t="s">
        <v>683</v>
      </c>
      <c r="L14" s="138" t="s">
        <v>683</v>
      </c>
      <c r="M14" s="138" t="s">
        <v>683</v>
      </c>
      <c r="N14" s="138" t="s">
        <v>683</v>
      </c>
      <c r="O14" s="613" t="s">
        <v>683</v>
      </c>
      <c r="P14" s="683" t="s">
        <v>683</v>
      </c>
      <c r="Q14" s="697" t="s">
        <v>683</v>
      </c>
      <c r="R14" s="141" t="s">
        <v>683</v>
      </c>
      <c r="S14" s="141" t="s">
        <v>683</v>
      </c>
      <c r="T14" s="141" t="s">
        <v>683</v>
      </c>
      <c r="U14" s="141" t="s">
        <v>683</v>
      </c>
    </row>
    <row r="15" spans="1:21" x14ac:dyDescent="0.2">
      <c r="A15">
        <f t="shared" si="2"/>
        <v>11</v>
      </c>
      <c r="B15" s="40" t="s">
        <v>1204</v>
      </c>
      <c r="C15" s="148" t="str">
        <f t="shared" si="0"/>
        <v>Not Applicable</v>
      </c>
      <c r="D15" s="46">
        <f t="shared" si="1"/>
        <v>10</v>
      </c>
      <c r="E15" s="151" t="s">
        <v>702</v>
      </c>
      <c r="F15" s="138" t="s">
        <v>683</v>
      </c>
      <c r="G15" s="138" t="s">
        <v>683</v>
      </c>
      <c r="H15" s="138" t="s">
        <v>683</v>
      </c>
      <c r="I15" s="138" t="s">
        <v>683</v>
      </c>
      <c r="J15" s="138" t="s">
        <v>683</v>
      </c>
      <c r="K15" s="138" t="s">
        <v>683</v>
      </c>
      <c r="L15" s="138" t="s">
        <v>683</v>
      </c>
      <c r="M15" s="138" t="s">
        <v>683</v>
      </c>
      <c r="N15" s="138" t="s">
        <v>683</v>
      </c>
      <c r="O15" s="613" t="s">
        <v>683</v>
      </c>
      <c r="P15" s="683" t="s">
        <v>683</v>
      </c>
      <c r="Q15" s="697" t="s">
        <v>683</v>
      </c>
      <c r="R15" s="141" t="s">
        <v>683</v>
      </c>
      <c r="S15" s="141" t="s">
        <v>683</v>
      </c>
      <c r="T15" s="141" t="s">
        <v>683</v>
      </c>
      <c r="U15" s="141" t="s">
        <v>683</v>
      </c>
    </row>
    <row r="16" spans="1:21" x14ac:dyDescent="0.2">
      <c r="A16">
        <f t="shared" si="2"/>
        <v>12</v>
      </c>
      <c r="B16" s="40" t="s">
        <v>1322</v>
      </c>
      <c r="C16" s="148" t="str">
        <f t="shared" si="0"/>
        <v>Various</v>
      </c>
      <c r="D16" s="46">
        <f t="shared" si="1"/>
        <v>11</v>
      </c>
      <c r="E16" s="151" t="s">
        <v>702</v>
      </c>
      <c r="F16" s="142" t="s">
        <v>752</v>
      </c>
      <c r="G16" s="142" t="s">
        <v>752</v>
      </c>
      <c r="H16" s="142" t="s">
        <v>752</v>
      </c>
      <c r="I16" s="142" t="s">
        <v>752</v>
      </c>
      <c r="J16" s="142" t="s">
        <v>752</v>
      </c>
      <c r="K16" s="142" t="s">
        <v>752</v>
      </c>
      <c r="L16" s="142" t="s">
        <v>752</v>
      </c>
      <c r="M16" s="142" t="s">
        <v>752</v>
      </c>
      <c r="N16" s="142" t="s">
        <v>752</v>
      </c>
      <c r="O16" s="614" t="s">
        <v>752</v>
      </c>
      <c r="P16" s="682" t="s">
        <v>752</v>
      </c>
      <c r="Q16" s="696" t="s">
        <v>752</v>
      </c>
      <c r="R16" s="349" t="s">
        <v>752</v>
      </c>
      <c r="S16" s="349" t="s">
        <v>752</v>
      </c>
      <c r="T16" s="349" t="s">
        <v>752</v>
      </c>
      <c r="U16" s="349" t="s">
        <v>752</v>
      </c>
    </row>
    <row r="17" spans="1:21" x14ac:dyDescent="0.2">
      <c r="A17">
        <f t="shared" si="2"/>
        <v>13</v>
      </c>
      <c r="B17" s="40" t="s">
        <v>1325</v>
      </c>
      <c r="C17" s="148" t="str">
        <f t="shared" si="0"/>
        <v>Various</v>
      </c>
      <c r="D17" s="46">
        <f t="shared" si="1"/>
        <v>12</v>
      </c>
      <c r="E17" s="151" t="s">
        <v>702</v>
      </c>
      <c r="F17" s="142" t="s">
        <v>752</v>
      </c>
      <c r="G17" s="142" t="s">
        <v>752</v>
      </c>
      <c r="H17" s="142" t="s">
        <v>752</v>
      </c>
      <c r="I17" s="142" t="s">
        <v>752</v>
      </c>
      <c r="J17" s="142" t="s">
        <v>752</v>
      </c>
      <c r="K17" s="142" t="s">
        <v>752</v>
      </c>
      <c r="L17" s="142" t="s">
        <v>752</v>
      </c>
      <c r="M17" s="142" t="s">
        <v>752</v>
      </c>
      <c r="N17" s="142" t="s">
        <v>752</v>
      </c>
      <c r="O17" s="614" t="s">
        <v>752</v>
      </c>
      <c r="P17" s="682" t="s">
        <v>752</v>
      </c>
      <c r="Q17" s="696" t="s">
        <v>752</v>
      </c>
      <c r="R17" s="349" t="s">
        <v>752</v>
      </c>
      <c r="S17" s="349" t="s">
        <v>752</v>
      </c>
      <c r="T17" s="349" t="s">
        <v>752</v>
      </c>
      <c r="U17" s="349" t="s">
        <v>752</v>
      </c>
    </row>
    <row r="18" spans="1:21" ht="24.95" customHeight="1" x14ac:dyDescent="0.2">
      <c r="A18">
        <f t="shared" si="2"/>
        <v>14</v>
      </c>
      <c r="B18" s="40" t="s">
        <v>1266</v>
      </c>
      <c r="C18" s="148" t="str">
        <f t="shared" si="0"/>
        <v>Part of: 1041, Pg 1, Ln 11 &amp; Sched E, Part 1, Ln 16</v>
      </c>
      <c r="D18" s="46">
        <f t="shared" si="1"/>
        <v>13</v>
      </c>
      <c r="E18" s="155" t="s">
        <v>702</v>
      </c>
      <c r="F18" s="155" t="s">
        <v>202</v>
      </c>
      <c r="G18" s="155" t="s">
        <v>202</v>
      </c>
      <c r="H18" s="155" t="s">
        <v>202</v>
      </c>
      <c r="I18" s="155" t="s">
        <v>202</v>
      </c>
      <c r="J18" s="155" t="s">
        <v>202</v>
      </c>
      <c r="K18" s="155" t="s">
        <v>202</v>
      </c>
      <c r="L18" s="155" t="s">
        <v>202</v>
      </c>
      <c r="M18" s="155" t="s">
        <v>202</v>
      </c>
      <c r="N18" s="155" t="s">
        <v>202</v>
      </c>
      <c r="O18" s="615" t="s">
        <v>202</v>
      </c>
      <c r="P18" s="684" t="s">
        <v>202</v>
      </c>
      <c r="Q18" s="698" t="s">
        <v>202</v>
      </c>
      <c r="R18" s="350" t="s">
        <v>202</v>
      </c>
      <c r="S18" s="350" t="s">
        <v>202</v>
      </c>
      <c r="T18" s="350" t="s">
        <v>202</v>
      </c>
      <c r="U18" s="350" t="s">
        <v>202</v>
      </c>
    </row>
    <row r="19" spans="1:21" x14ac:dyDescent="0.2">
      <c r="A19">
        <f t="shared" si="2"/>
        <v>15</v>
      </c>
      <c r="B19" s="45" t="s">
        <v>110</v>
      </c>
      <c r="C19" s="148" t="str">
        <f t="shared" si="0"/>
        <v>Trust's Books &amp; Records</v>
      </c>
      <c r="D19" s="46">
        <f t="shared" si="1"/>
        <v>14</v>
      </c>
      <c r="E19" s="151" t="s">
        <v>702</v>
      </c>
      <c r="F19" s="142" t="s">
        <v>1292</v>
      </c>
      <c r="G19" s="142" t="s">
        <v>1292</v>
      </c>
      <c r="H19" s="142" t="s">
        <v>1292</v>
      </c>
      <c r="I19" s="142" t="s">
        <v>1292</v>
      </c>
      <c r="J19" s="142" t="s">
        <v>1292</v>
      </c>
      <c r="K19" s="142" t="s">
        <v>1292</v>
      </c>
      <c r="L19" s="142" t="s">
        <v>1292</v>
      </c>
      <c r="M19" s="142" t="s">
        <v>1292</v>
      </c>
      <c r="N19" s="142" t="s">
        <v>1292</v>
      </c>
      <c r="O19" s="614" t="s">
        <v>1292</v>
      </c>
      <c r="P19" s="682" t="s">
        <v>1292</v>
      </c>
      <c r="Q19" s="696" t="s">
        <v>1292</v>
      </c>
      <c r="R19" s="349" t="s">
        <v>1292</v>
      </c>
      <c r="S19" s="349" t="s">
        <v>1292</v>
      </c>
      <c r="T19" s="349" t="s">
        <v>1292</v>
      </c>
      <c r="U19" s="349" t="s">
        <v>1292</v>
      </c>
    </row>
    <row r="20" spans="1:21" x14ac:dyDescent="0.2">
      <c r="A20">
        <f t="shared" si="2"/>
        <v>16</v>
      </c>
      <c r="B20" s="45" t="s">
        <v>111</v>
      </c>
      <c r="C20" s="148" t="str">
        <f t="shared" si="0"/>
        <v>Trust's Books &amp; Records</v>
      </c>
      <c r="D20" s="46">
        <f t="shared" si="1"/>
        <v>15</v>
      </c>
      <c r="E20" s="151" t="s">
        <v>702</v>
      </c>
      <c r="F20" s="142" t="s">
        <v>1292</v>
      </c>
      <c r="G20" s="142" t="s">
        <v>1292</v>
      </c>
      <c r="H20" s="142" t="s">
        <v>1292</v>
      </c>
      <c r="I20" s="142" t="s">
        <v>1292</v>
      </c>
      <c r="J20" s="142" t="s">
        <v>1292</v>
      </c>
      <c r="K20" s="142" t="s">
        <v>1292</v>
      </c>
      <c r="L20" s="142" t="s">
        <v>1292</v>
      </c>
      <c r="M20" s="142" t="s">
        <v>1292</v>
      </c>
      <c r="N20" s="142" t="s">
        <v>1292</v>
      </c>
      <c r="O20" s="614" t="s">
        <v>1292</v>
      </c>
      <c r="P20" s="682" t="s">
        <v>1292</v>
      </c>
      <c r="Q20" s="696" t="s">
        <v>1292</v>
      </c>
      <c r="R20" s="349" t="s">
        <v>1292</v>
      </c>
      <c r="S20" s="349" t="s">
        <v>1292</v>
      </c>
      <c r="T20" s="349" t="s">
        <v>1292</v>
      </c>
      <c r="U20" s="349" t="s">
        <v>1292</v>
      </c>
    </row>
    <row r="21" spans="1:21" x14ac:dyDescent="0.2">
      <c r="A21">
        <f t="shared" si="2"/>
        <v>17</v>
      </c>
      <c r="B21" s="85" t="s">
        <v>1302</v>
      </c>
      <c r="C21" s="148" t="str">
        <f t="shared" si="0"/>
        <v>Trust's Books &amp; Records</v>
      </c>
      <c r="D21" s="46">
        <f t="shared" si="1"/>
        <v>16</v>
      </c>
      <c r="E21" s="151" t="s">
        <v>702</v>
      </c>
      <c r="F21" s="142" t="s">
        <v>1292</v>
      </c>
      <c r="G21" s="142" t="s">
        <v>1292</v>
      </c>
      <c r="H21" s="142" t="s">
        <v>1292</v>
      </c>
      <c r="I21" s="142" t="s">
        <v>1292</v>
      </c>
      <c r="J21" s="142" t="s">
        <v>1292</v>
      </c>
      <c r="K21" s="142" t="s">
        <v>1292</v>
      </c>
      <c r="L21" s="142" t="s">
        <v>1292</v>
      </c>
      <c r="M21" s="142" t="s">
        <v>1292</v>
      </c>
      <c r="N21" s="142" t="s">
        <v>1292</v>
      </c>
      <c r="O21" s="614" t="s">
        <v>1292</v>
      </c>
      <c r="P21" s="682" t="s">
        <v>1292</v>
      </c>
      <c r="Q21" s="696" t="s">
        <v>1292</v>
      </c>
      <c r="R21" s="349" t="s">
        <v>1292</v>
      </c>
      <c r="S21" s="349" t="s">
        <v>1292</v>
      </c>
      <c r="T21" s="349" t="s">
        <v>1292</v>
      </c>
      <c r="U21" s="349" t="s">
        <v>1292</v>
      </c>
    </row>
    <row r="22" spans="1:21" x14ac:dyDescent="0.2">
      <c r="A22">
        <f t="shared" si="2"/>
        <v>18</v>
      </c>
      <c r="B22" s="85" t="s">
        <v>1321</v>
      </c>
      <c r="C22" s="148" t="str">
        <f t="shared" si="0"/>
        <v>Trust's Books &amp; Records</v>
      </c>
      <c r="D22" s="46">
        <f t="shared" si="1"/>
        <v>17</v>
      </c>
      <c r="E22" s="151" t="s">
        <v>702</v>
      </c>
      <c r="F22" s="142" t="s">
        <v>1292</v>
      </c>
      <c r="G22" s="142" t="s">
        <v>1292</v>
      </c>
      <c r="H22" s="142" t="s">
        <v>1292</v>
      </c>
      <c r="I22" s="142" t="s">
        <v>1292</v>
      </c>
      <c r="J22" s="142" t="s">
        <v>1292</v>
      </c>
      <c r="K22" s="142" t="s">
        <v>1292</v>
      </c>
      <c r="L22" s="142" t="s">
        <v>1292</v>
      </c>
      <c r="M22" s="142" t="s">
        <v>1292</v>
      </c>
      <c r="N22" s="142" t="s">
        <v>1292</v>
      </c>
      <c r="O22" s="614" t="s">
        <v>1292</v>
      </c>
      <c r="P22" s="682" t="s">
        <v>1292</v>
      </c>
      <c r="Q22" s="696" t="s">
        <v>1292</v>
      </c>
      <c r="R22" s="349" t="s">
        <v>1292</v>
      </c>
      <c r="S22" s="349" t="s">
        <v>1292</v>
      </c>
      <c r="T22" s="349" t="s">
        <v>1292</v>
      </c>
      <c r="U22" s="349" t="s">
        <v>1292</v>
      </c>
    </row>
    <row r="23" spans="1:21" x14ac:dyDescent="0.2">
      <c r="A23">
        <f t="shared" si="2"/>
        <v>19</v>
      </c>
      <c r="B23" s="85" t="s">
        <v>1303</v>
      </c>
      <c r="C23" s="148" t="str">
        <f t="shared" si="0"/>
        <v>Trust's Books &amp; Records</v>
      </c>
      <c r="D23" s="46">
        <f t="shared" si="1"/>
        <v>18</v>
      </c>
      <c r="E23" s="151" t="s">
        <v>702</v>
      </c>
      <c r="F23" s="142" t="s">
        <v>1292</v>
      </c>
      <c r="G23" s="142" t="s">
        <v>1292</v>
      </c>
      <c r="H23" s="142" t="s">
        <v>1292</v>
      </c>
      <c r="I23" s="142" t="s">
        <v>1292</v>
      </c>
      <c r="J23" s="142" t="s">
        <v>1292</v>
      </c>
      <c r="K23" s="142" t="s">
        <v>1292</v>
      </c>
      <c r="L23" s="142" t="s">
        <v>1292</v>
      </c>
      <c r="M23" s="142" t="s">
        <v>1292</v>
      </c>
      <c r="N23" s="142" t="s">
        <v>1292</v>
      </c>
      <c r="O23" s="614" t="s">
        <v>1292</v>
      </c>
      <c r="P23" s="682" t="s">
        <v>1292</v>
      </c>
      <c r="Q23" s="696" t="s">
        <v>1292</v>
      </c>
      <c r="R23" s="349" t="s">
        <v>1292</v>
      </c>
      <c r="S23" s="349" t="s">
        <v>1292</v>
      </c>
      <c r="T23" s="349" t="s">
        <v>1292</v>
      </c>
      <c r="U23" s="349" t="s">
        <v>1292</v>
      </c>
    </row>
    <row r="24" spans="1:21" x14ac:dyDescent="0.2">
      <c r="A24">
        <f t="shared" si="2"/>
        <v>20</v>
      </c>
      <c r="B24" s="85" t="s">
        <v>1306</v>
      </c>
      <c r="C24" s="148" t="str">
        <f t="shared" si="0"/>
        <v>Trust's Books &amp; Records</v>
      </c>
      <c r="D24" s="46">
        <f t="shared" si="1"/>
        <v>19</v>
      </c>
      <c r="E24" s="151" t="s">
        <v>702</v>
      </c>
      <c r="F24" s="142" t="s">
        <v>1292</v>
      </c>
      <c r="G24" s="142" t="s">
        <v>1292</v>
      </c>
      <c r="H24" s="142" t="s">
        <v>1292</v>
      </c>
      <c r="I24" s="142" t="s">
        <v>1292</v>
      </c>
      <c r="J24" s="142" t="s">
        <v>1292</v>
      </c>
      <c r="K24" s="142" t="s">
        <v>1292</v>
      </c>
      <c r="L24" s="142" t="s">
        <v>1292</v>
      </c>
      <c r="M24" s="142" t="s">
        <v>1292</v>
      </c>
      <c r="N24" s="142" t="s">
        <v>1292</v>
      </c>
      <c r="O24" s="614" t="s">
        <v>1292</v>
      </c>
      <c r="P24" s="682" t="s">
        <v>1292</v>
      </c>
      <c r="Q24" s="696" t="s">
        <v>1292</v>
      </c>
      <c r="R24" s="349" t="s">
        <v>1292</v>
      </c>
      <c r="S24" s="349" t="s">
        <v>1292</v>
      </c>
      <c r="T24" s="349" t="s">
        <v>1292</v>
      </c>
      <c r="U24" s="349" t="s">
        <v>1292</v>
      </c>
    </row>
    <row r="25" spans="1:21" x14ac:dyDescent="0.2">
      <c r="A25">
        <f t="shared" si="2"/>
        <v>21</v>
      </c>
      <c r="B25" s="85" t="s">
        <v>1304</v>
      </c>
      <c r="C25" s="148" t="str">
        <f t="shared" si="0"/>
        <v>Trust's Books &amp; Records</v>
      </c>
      <c r="D25" s="46">
        <f t="shared" si="1"/>
        <v>20</v>
      </c>
      <c r="E25" s="151" t="s">
        <v>702</v>
      </c>
      <c r="F25" s="142" t="s">
        <v>1292</v>
      </c>
      <c r="G25" s="142" t="s">
        <v>1292</v>
      </c>
      <c r="H25" s="142" t="s">
        <v>1292</v>
      </c>
      <c r="I25" s="142" t="s">
        <v>1292</v>
      </c>
      <c r="J25" s="142" t="s">
        <v>1292</v>
      </c>
      <c r="K25" s="142" t="s">
        <v>1292</v>
      </c>
      <c r="L25" s="142" t="s">
        <v>1292</v>
      </c>
      <c r="M25" s="142" t="s">
        <v>1292</v>
      </c>
      <c r="N25" s="142" t="s">
        <v>1292</v>
      </c>
      <c r="O25" s="614" t="s">
        <v>1292</v>
      </c>
      <c r="P25" s="682" t="s">
        <v>1292</v>
      </c>
      <c r="Q25" s="696" t="s">
        <v>1292</v>
      </c>
      <c r="R25" s="349" t="s">
        <v>1292</v>
      </c>
      <c r="S25" s="349" t="s">
        <v>1292</v>
      </c>
      <c r="T25" s="349" t="s">
        <v>1292</v>
      </c>
      <c r="U25" s="349" t="s">
        <v>1292</v>
      </c>
    </row>
    <row r="26" spans="1:21" x14ac:dyDescent="0.2">
      <c r="A26">
        <f t="shared" si="2"/>
        <v>22</v>
      </c>
      <c r="B26" s="85" t="s">
        <v>1305</v>
      </c>
      <c r="C26" s="148" t="str">
        <f t="shared" si="0"/>
        <v>Trust's Books &amp; Records</v>
      </c>
      <c r="D26" s="46">
        <f t="shared" si="1"/>
        <v>21</v>
      </c>
      <c r="E26" s="151" t="s">
        <v>702</v>
      </c>
      <c r="F26" s="142" t="s">
        <v>1292</v>
      </c>
      <c r="G26" s="142" t="s">
        <v>1292</v>
      </c>
      <c r="H26" s="142" t="s">
        <v>1292</v>
      </c>
      <c r="I26" s="142" t="s">
        <v>1292</v>
      </c>
      <c r="J26" s="142" t="s">
        <v>1292</v>
      </c>
      <c r="K26" s="142" t="s">
        <v>1292</v>
      </c>
      <c r="L26" s="142" t="s">
        <v>1292</v>
      </c>
      <c r="M26" s="142" t="s">
        <v>1292</v>
      </c>
      <c r="N26" s="142" t="s">
        <v>1292</v>
      </c>
      <c r="O26" s="614" t="s">
        <v>1292</v>
      </c>
      <c r="P26" s="682" t="s">
        <v>1292</v>
      </c>
      <c r="Q26" s="696" t="s">
        <v>1292</v>
      </c>
      <c r="R26" s="349" t="s">
        <v>1292</v>
      </c>
      <c r="S26" s="349" t="s">
        <v>1292</v>
      </c>
      <c r="T26" s="349" t="s">
        <v>1292</v>
      </c>
      <c r="U26" s="349" t="s">
        <v>1292</v>
      </c>
    </row>
    <row r="27" spans="1:21" x14ac:dyDescent="0.2">
      <c r="A27">
        <f t="shared" si="2"/>
        <v>23</v>
      </c>
      <c r="B27" s="40" t="s">
        <v>23</v>
      </c>
      <c r="C27" s="148" t="str">
        <f t="shared" si="0"/>
        <v>Sched D, Part I, Ln 7</v>
      </c>
      <c r="D27" s="46">
        <f t="shared" si="1"/>
        <v>22</v>
      </c>
      <c r="E27" s="151" t="s">
        <v>702</v>
      </c>
      <c r="F27" s="138" t="s">
        <v>753</v>
      </c>
      <c r="G27" s="138" t="s">
        <v>753</v>
      </c>
      <c r="H27" s="138" t="s">
        <v>753</v>
      </c>
      <c r="I27" s="141" t="s">
        <v>753</v>
      </c>
      <c r="J27" s="138" t="s">
        <v>753</v>
      </c>
      <c r="K27" s="138" t="s">
        <v>358</v>
      </c>
      <c r="L27" s="138" t="s">
        <v>357</v>
      </c>
      <c r="M27" s="138" t="s">
        <v>357</v>
      </c>
      <c r="N27" s="138" t="s">
        <v>357</v>
      </c>
      <c r="O27" s="613" t="s">
        <v>922</v>
      </c>
      <c r="P27" s="683" t="s">
        <v>922</v>
      </c>
      <c r="Q27" s="697" t="s">
        <v>922</v>
      </c>
      <c r="R27" s="141" t="s">
        <v>922</v>
      </c>
      <c r="S27" s="141" t="s">
        <v>922</v>
      </c>
      <c r="T27" s="141" t="s">
        <v>922</v>
      </c>
      <c r="U27" s="141" t="s">
        <v>922</v>
      </c>
    </row>
    <row r="28" spans="1:21" x14ac:dyDescent="0.2">
      <c r="A28">
        <f t="shared" si="2"/>
        <v>24</v>
      </c>
      <c r="B28" s="40" t="s">
        <v>24</v>
      </c>
      <c r="C28" s="148" t="str">
        <f t="shared" si="0"/>
        <v>Sched D, Part II, Ln 16 less Ln 14</v>
      </c>
      <c r="D28" s="46">
        <f t="shared" si="1"/>
        <v>23</v>
      </c>
      <c r="E28" s="151" t="s">
        <v>702</v>
      </c>
      <c r="F28" s="138" t="s">
        <v>755</v>
      </c>
      <c r="G28" s="138" t="s">
        <v>755</v>
      </c>
      <c r="H28" s="138" t="s">
        <v>755</v>
      </c>
      <c r="I28" s="141" t="s">
        <v>755</v>
      </c>
      <c r="J28" s="138" t="s">
        <v>755</v>
      </c>
      <c r="K28" s="138" t="s">
        <v>359</v>
      </c>
      <c r="L28" s="138" t="s">
        <v>359</v>
      </c>
      <c r="M28" s="138" t="s">
        <v>31</v>
      </c>
      <c r="N28" s="138" t="s">
        <v>31</v>
      </c>
      <c r="O28" s="683" t="s">
        <v>1464</v>
      </c>
      <c r="P28" s="683" t="s">
        <v>1464</v>
      </c>
      <c r="Q28" s="697" t="s">
        <v>1464</v>
      </c>
      <c r="R28" s="141" t="s">
        <v>1464</v>
      </c>
      <c r="S28" s="141" t="s">
        <v>1464</v>
      </c>
      <c r="T28" s="141" t="s">
        <v>1464</v>
      </c>
      <c r="U28" s="141" t="s">
        <v>1464</v>
      </c>
    </row>
    <row r="29" spans="1:21" x14ac:dyDescent="0.2">
      <c r="A29">
        <f t="shared" si="2"/>
        <v>25</v>
      </c>
      <c r="B29" s="40" t="s">
        <v>25</v>
      </c>
      <c r="C29" s="148" t="str">
        <f t="shared" si="0"/>
        <v>4797, Part I, Ln 7</v>
      </c>
      <c r="D29" s="46">
        <f t="shared" si="1"/>
        <v>24</v>
      </c>
      <c r="E29" s="151" t="s">
        <v>702</v>
      </c>
      <c r="F29" s="138" t="s">
        <v>688</v>
      </c>
      <c r="G29" s="138" t="s">
        <v>688</v>
      </c>
      <c r="H29" s="138" t="s">
        <v>688</v>
      </c>
      <c r="I29" s="141" t="s">
        <v>688</v>
      </c>
      <c r="J29" s="138" t="s">
        <v>688</v>
      </c>
      <c r="K29" s="138" t="s">
        <v>688</v>
      </c>
      <c r="L29" s="138" t="s">
        <v>688</v>
      </c>
      <c r="M29" s="138" t="s">
        <v>688</v>
      </c>
      <c r="N29" s="138" t="s">
        <v>688</v>
      </c>
      <c r="O29" s="613" t="s">
        <v>688</v>
      </c>
      <c r="P29" s="683" t="s">
        <v>688</v>
      </c>
      <c r="Q29" s="697" t="s">
        <v>688</v>
      </c>
      <c r="R29" s="141" t="s">
        <v>688</v>
      </c>
      <c r="S29" s="141" t="s">
        <v>688</v>
      </c>
      <c r="T29" s="141" t="s">
        <v>688</v>
      </c>
      <c r="U29" s="141" t="s">
        <v>688</v>
      </c>
    </row>
    <row r="30" spans="1:21" x14ac:dyDescent="0.2">
      <c r="A30">
        <f t="shared" si="2"/>
        <v>26</v>
      </c>
      <c r="B30" s="40" t="s">
        <v>26</v>
      </c>
      <c r="C30" s="148" t="str">
        <f t="shared" si="0"/>
        <v>4562, Part I, Ln 12</v>
      </c>
      <c r="D30" s="46">
        <f t="shared" si="1"/>
        <v>25</v>
      </c>
      <c r="E30" s="151" t="s">
        <v>702</v>
      </c>
      <c r="F30" s="141" t="s">
        <v>689</v>
      </c>
      <c r="G30" s="141" t="s">
        <v>689</v>
      </c>
      <c r="H30" s="141" t="s">
        <v>689</v>
      </c>
      <c r="I30" s="141" t="s">
        <v>689</v>
      </c>
      <c r="J30" s="141" t="s">
        <v>689</v>
      </c>
      <c r="K30" s="141" t="s">
        <v>689</v>
      </c>
      <c r="L30" s="141" t="s">
        <v>689</v>
      </c>
      <c r="M30" s="141" t="s">
        <v>689</v>
      </c>
      <c r="N30" s="141" t="s">
        <v>689</v>
      </c>
      <c r="O30" s="613" t="s">
        <v>689</v>
      </c>
      <c r="P30" s="683" t="s">
        <v>689</v>
      </c>
      <c r="Q30" s="697" t="s">
        <v>689</v>
      </c>
      <c r="R30" s="141" t="s">
        <v>689</v>
      </c>
      <c r="S30" s="141" t="s">
        <v>689</v>
      </c>
      <c r="T30" s="141" t="s">
        <v>689</v>
      </c>
      <c r="U30" s="141" t="s">
        <v>689</v>
      </c>
    </row>
    <row r="31" spans="1:21" x14ac:dyDescent="0.2">
      <c r="A31">
        <f t="shared" si="2"/>
        <v>27</v>
      </c>
      <c r="B31" s="40" t="s">
        <v>361</v>
      </c>
      <c r="C31" s="148" t="str">
        <f t="shared" si="0"/>
        <v>4562, Part I, Ln 13</v>
      </c>
      <c r="D31" s="46">
        <f>+D30+1</f>
        <v>26</v>
      </c>
      <c r="E31" s="151" t="s">
        <v>702</v>
      </c>
      <c r="F31" s="141" t="s">
        <v>362</v>
      </c>
      <c r="G31" s="141" t="s">
        <v>362</v>
      </c>
      <c r="H31" s="141" t="s">
        <v>362</v>
      </c>
      <c r="I31" s="141" t="s">
        <v>362</v>
      </c>
      <c r="J31" s="141" t="s">
        <v>362</v>
      </c>
      <c r="K31" s="141" t="s">
        <v>362</v>
      </c>
      <c r="L31" s="141" t="s">
        <v>362</v>
      </c>
      <c r="M31" s="141" t="s">
        <v>362</v>
      </c>
      <c r="N31" s="141" t="s">
        <v>362</v>
      </c>
      <c r="O31" s="613" t="s">
        <v>362</v>
      </c>
      <c r="P31" s="683" t="s">
        <v>362</v>
      </c>
      <c r="Q31" s="697" t="s">
        <v>362</v>
      </c>
      <c r="R31" s="141" t="s">
        <v>362</v>
      </c>
      <c r="S31" s="141" t="s">
        <v>362</v>
      </c>
      <c r="T31" s="141" t="s">
        <v>362</v>
      </c>
      <c r="U31" s="141" t="s">
        <v>362</v>
      </c>
    </row>
    <row r="32" spans="1:21" x14ac:dyDescent="0.2">
      <c r="A32">
        <f t="shared" si="2"/>
        <v>28</v>
      </c>
      <c r="B32" s="40" t="s">
        <v>654</v>
      </c>
      <c r="C32" s="148" t="str">
        <f t="shared" si="0"/>
        <v>Form 1041, Pg 1, Ln 13</v>
      </c>
      <c r="D32" s="46">
        <f>+D31+1</f>
        <v>27</v>
      </c>
      <c r="E32" s="151" t="s">
        <v>702</v>
      </c>
      <c r="F32" s="138" t="s">
        <v>756</v>
      </c>
      <c r="G32" s="138" t="s">
        <v>756</v>
      </c>
      <c r="H32" s="138" t="s">
        <v>756</v>
      </c>
      <c r="I32" s="141" t="s">
        <v>756</v>
      </c>
      <c r="J32" s="138" t="s">
        <v>756</v>
      </c>
      <c r="K32" s="138" t="s">
        <v>756</v>
      </c>
      <c r="L32" s="138" t="s">
        <v>756</v>
      </c>
      <c r="M32" s="138" t="s">
        <v>756</v>
      </c>
      <c r="N32" s="138" t="s">
        <v>756</v>
      </c>
      <c r="O32" s="613" t="s">
        <v>756</v>
      </c>
      <c r="P32" s="683" t="s">
        <v>756</v>
      </c>
      <c r="Q32" s="697" t="s">
        <v>756</v>
      </c>
      <c r="R32" s="141" t="s">
        <v>756</v>
      </c>
      <c r="S32" s="141" t="s">
        <v>756</v>
      </c>
      <c r="T32" s="141" t="s">
        <v>756</v>
      </c>
      <c r="U32" s="141" t="s">
        <v>756</v>
      </c>
    </row>
    <row r="33" spans="1:21" x14ac:dyDescent="0.2">
      <c r="A33">
        <f t="shared" si="2"/>
        <v>29</v>
      </c>
      <c r="B33" s="47" t="s">
        <v>28</v>
      </c>
      <c r="C33" s="148" t="str">
        <f t="shared" si="0"/>
        <v>Not Applicable</v>
      </c>
      <c r="D33" s="46">
        <f t="shared" si="1"/>
        <v>28</v>
      </c>
      <c r="E33" s="151" t="s">
        <v>702</v>
      </c>
      <c r="F33" s="138" t="s">
        <v>683</v>
      </c>
      <c r="G33" s="138" t="s">
        <v>683</v>
      </c>
      <c r="H33" s="138" t="s">
        <v>683</v>
      </c>
      <c r="I33" s="141" t="s">
        <v>683</v>
      </c>
      <c r="J33" s="138" t="s">
        <v>683</v>
      </c>
      <c r="K33" s="138" t="s">
        <v>683</v>
      </c>
      <c r="L33" s="138" t="s">
        <v>683</v>
      </c>
      <c r="M33" s="138" t="s">
        <v>683</v>
      </c>
      <c r="N33" s="138" t="s">
        <v>683</v>
      </c>
      <c r="O33" s="613" t="s">
        <v>683</v>
      </c>
      <c r="P33" s="683" t="s">
        <v>683</v>
      </c>
      <c r="Q33" s="138" t="s">
        <v>683</v>
      </c>
      <c r="R33" s="138" t="s">
        <v>683</v>
      </c>
      <c r="S33" s="138" t="s">
        <v>683</v>
      </c>
      <c r="T33" s="732" t="s">
        <v>683</v>
      </c>
      <c r="U33" s="747" t="s">
        <v>683</v>
      </c>
    </row>
    <row r="34" spans="1:21" x14ac:dyDescent="0.2">
      <c r="A34">
        <f t="shared" si="2"/>
        <v>30</v>
      </c>
      <c r="B34" s="47" t="s">
        <v>27</v>
      </c>
      <c r="C34" s="148" t="str">
        <f t="shared" si="0"/>
        <v>Not Applicable</v>
      </c>
      <c r="D34" s="46">
        <f t="shared" si="1"/>
        <v>29</v>
      </c>
      <c r="E34" s="151" t="s">
        <v>702</v>
      </c>
      <c r="F34" s="138" t="s">
        <v>683</v>
      </c>
      <c r="G34" s="138" t="s">
        <v>683</v>
      </c>
      <c r="H34" s="138" t="s">
        <v>683</v>
      </c>
      <c r="I34" s="141" t="s">
        <v>683</v>
      </c>
      <c r="J34" s="138" t="s">
        <v>683</v>
      </c>
      <c r="K34" s="138" t="s">
        <v>683</v>
      </c>
      <c r="L34" s="138" t="s">
        <v>683</v>
      </c>
      <c r="M34" s="138" t="s">
        <v>683</v>
      </c>
      <c r="N34" s="138" t="s">
        <v>683</v>
      </c>
      <c r="O34" s="613" t="s">
        <v>683</v>
      </c>
      <c r="P34" s="683" t="s">
        <v>683</v>
      </c>
      <c r="Q34" s="138" t="s">
        <v>683</v>
      </c>
      <c r="R34" s="138" t="s">
        <v>683</v>
      </c>
      <c r="S34" s="138" t="s">
        <v>683</v>
      </c>
      <c r="T34" s="732" t="s">
        <v>683</v>
      </c>
      <c r="U34" s="747" t="s">
        <v>683</v>
      </c>
    </row>
    <row r="35" spans="1:21" x14ac:dyDescent="0.2">
      <c r="A35">
        <f t="shared" si="2"/>
        <v>31</v>
      </c>
      <c r="B35" s="47" t="s">
        <v>757</v>
      </c>
      <c r="C35" s="148" t="str">
        <f t="shared" si="0"/>
        <v>Not Applicable</v>
      </c>
      <c r="D35" s="46">
        <f t="shared" si="1"/>
        <v>30</v>
      </c>
      <c r="E35" s="151" t="s">
        <v>702</v>
      </c>
      <c r="F35" s="138" t="s">
        <v>683</v>
      </c>
      <c r="G35" s="138" t="s">
        <v>683</v>
      </c>
      <c r="H35" s="138" t="s">
        <v>683</v>
      </c>
      <c r="I35" s="141" t="s">
        <v>683</v>
      </c>
      <c r="J35" s="138" t="s">
        <v>683</v>
      </c>
      <c r="K35" s="138" t="s">
        <v>683</v>
      </c>
      <c r="L35" s="138" t="s">
        <v>683</v>
      </c>
      <c r="M35" s="138" t="s">
        <v>683</v>
      </c>
      <c r="N35" s="138" t="s">
        <v>683</v>
      </c>
      <c r="O35" s="613" t="s">
        <v>683</v>
      </c>
      <c r="P35" s="683" t="s">
        <v>683</v>
      </c>
      <c r="Q35" s="138" t="s">
        <v>683</v>
      </c>
      <c r="R35" s="138" t="s">
        <v>683</v>
      </c>
      <c r="S35" s="138" t="s">
        <v>683</v>
      </c>
      <c r="T35" s="732" t="s">
        <v>683</v>
      </c>
      <c r="U35" s="747" t="s">
        <v>683</v>
      </c>
    </row>
    <row r="36" spans="1:21" x14ac:dyDescent="0.2">
      <c r="A36">
        <f t="shared" si="2"/>
        <v>32</v>
      </c>
      <c r="B36" s="40" t="s">
        <v>678</v>
      </c>
      <c r="C36" s="148" t="str">
        <f t="shared" si="0"/>
        <v>4797, Part III, Ln 22</v>
      </c>
      <c r="D36" s="46">
        <f t="shared" si="1"/>
        <v>31</v>
      </c>
      <c r="E36" s="151" t="s">
        <v>702</v>
      </c>
      <c r="F36" s="141" t="s">
        <v>12</v>
      </c>
      <c r="G36" s="141" t="s">
        <v>12</v>
      </c>
      <c r="H36" s="141" t="s">
        <v>12</v>
      </c>
      <c r="I36" s="141" t="s">
        <v>12</v>
      </c>
      <c r="J36" s="141" t="s">
        <v>12</v>
      </c>
      <c r="K36" s="141" t="s">
        <v>12</v>
      </c>
      <c r="L36" s="141" t="s">
        <v>12</v>
      </c>
      <c r="M36" s="141" t="s">
        <v>12</v>
      </c>
      <c r="N36" s="141" t="s">
        <v>12</v>
      </c>
      <c r="O36" s="613" t="s">
        <v>12</v>
      </c>
      <c r="P36" s="683" t="s">
        <v>12</v>
      </c>
      <c r="Q36" s="697" t="s">
        <v>12</v>
      </c>
      <c r="R36" s="141" t="s">
        <v>12</v>
      </c>
      <c r="S36" s="141" t="s">
        <v>12</v>
      </c>
      <c r="T36" s="141" t="s">
        <v>12</v>
      </c>
      <c r="U36" s="141" t="s">
        <v>12</v>
      </c>
    </row>
    <row r="37" spans="1:21" x14ac:dyDescent="0.2">
      <c r="A37">
        <f t="shared" si="2"/>
        <v>33</v>
      </c>
      <c r="B37" s="41" t="s">
        <v>679</v>
      </c>
      <c r="C37" s="148" t="str">
        <f t="shared" si="0"/>
        <v>4797, Part III, Ln 24</v>
      </c>
      <c r="D37" s="46">
        <f t="shared" si="1"/>
        <v>32</v>
      </c>
      <c r="E37" s="151" t="s">
        <v>702</v>
      </c>
      <c r="F37" s="141" t="s">
        <v>13</v>
      </c>
      <c r="G37" s="141" t="s">
        <v>13</v>
      </c>
      <c r="H37" s="141" t="s">
        <v>13</v>
      </c>
      <c r="I37" s="141" t="s">
        <v>13</v>
      </c>
      <c r="J37" s="141" t="s">
        <v>13</v>
      </c>
      <c r="K37" s="141" t="s">
        <v>13</v>
      </c>
      <c r="L37" s="141" t="s">
        <v>13</v>
      </c>
      <c r="M37" s="141" t="s">
        <v>13</v>
      </c>
      <c r="N37" s="141" t="s">
        <v>13</v>
      </c>
      <c r="O37" s="613" t="s">
        <v>13</v>
      </c>
      <c r="P37" s="683" t="s">
        <v>13</v>
      </c>
      <c r="Q37" s="697" t="s">
        <v>13</v>
      </c>
      <c r="R37" s="141" t="s">
        <v>13</v>
      </c>
      <c r="S37" s="141" t="s">
        <v>13</v>
      </c>
      <c r="T37" s="141" t="s">
        <v>13</v>
      </c>
      <c r="U37" s="141" t="s">
        <v>13</v>
      </c>
    </row>
    <row r="38" spans="1:21" x14ac:dyDescent="0.2">
      <c r="A38">
        <f t="shared" si="2"/>
        <v>34</v>
      </c>
      <c r="B38" s="41" t="s">
        <v>680</v>
      </c>
      <c r="C38" s="149"/>
      <c r="D38" s="46">
        <f t="shared" si="1"/>
        <v>33</v>
      </c>
      <c r="E38" s="139"/>
      <c r="F38" s="139"/>
      <c r="G38" s="139"/>
      <c r="H38" s="139"/>
      <c r="I38" s="139"/>
      <c r="J38" s="139"/>
      <c r="K38" s="139"/>
      <c r="L38" s="139"/>
      <c r="M38" s="139"/>
      <c r="N38" s="139"/>
      <c r="O38" s="139"/>
      <c r="P38" s="139"/>
      <c r="Q38" s="139"/>
      <c r="R38" s="139"/>
      <c r="S38" s="139"/>
      <c r="T38" s="733"/>
      <c r="U38" s="748"/>
    </row>
    <row r="39" spans="1:21" x14ac:dyDescent="0.2">
      <c r="A39">
        <f t="shared" si="2"/>
        <v>35</v>
      </c>
      <c r="B39" s="41" t="s">
        <v>105</v>
      </c>
      <c r="C39" s="148" t="str">
        <f>HLOOKUP($C$2,$E$5:$T$255,$A39,FALSE)</f>
        <v>4797, Part III, Ln 26g</v>
      </c>
      <c r="D39" s="46">
        <f t="shared" si="1"/>
        <v>34</v>
      </c>
      <c r="E39" s="151" t="s">
        <v>702</v>
      </c>
      <c r="F39" s="141" t="s">
        <v>106</v>
      </c>
      <c r="G39" s="141" t="s">
        <v>106</v>
      </c>
      <c r="H39" s="141" t="s">
        <v>106</v>
      </c>
      <c r="I39" s="141" t="s">
        <v>106</v>
      </c>
      <c r="J39" s="141" t="s">
        <v>106</v>
      </c>
      <c r="K39" s="141" t="s">
        <v>106</v>
      </c>
      <c r="L39" s="141" t="s">
        <v>106</v>
      </c>
      <c r="M39" s="141" t="s">
        <v>106</v>
      </c>
      <c r="N39" s="141" t="s">
        <v>106</v>
      </c>
      <c r="O39" s="613" t="s">
        <v>106</v>
      </c>
      <c r="P39" s="683" t="s">
        <v>106</v>
      </c>
      <c r="Q39" s="697" t="s">
        <v>106</v>
      </c>
      <c r="R39" s="141" t="s">
        <v>106</v>
      </c>
      <c r="S39" s="141" t="s">
        <v>106</v>
      </c>
      <c r="T39" s="141" t="s">
        <v>106</v>
      </c>
      <c r="U39" s="141" t="s">
        <v>106</v>
      </c>
    </row>
    <row r="40" spans="1:21" x14ac:dyDescent="0.2">
      <c r="A40">
        <f t="shared" si="2"/>
        <v>36</v>
      </c>
      <c r="G40" s="124"/>
      <c r="M40" s="152"/>
      <c r="N40" s="152"/>
      <c r="O40" s="152"/>
      <c r="P40" s="152"/>
      <c r="Q40" s="152"/>
      <c r="R40" s="152"/>
      <c r="S40" s="152"/>
      <c r="T40" s="152"/>
      <c r="U40" s="152"/>
    </row>
    <row r="41" spans="1:21" x14ac:dyDescent="0.2">
      <c r="A41">
        <f t="shared" si="2"/>
        <v>37</v>
      </c>
      <c r="B41" s="150" t="s">
        <v>20</v>
      </c>
      <c r="G41" s="124"/>
      <c r="M41" s="152"/>
      <c r="N41" s="152"/>
      <c r="O41" s="152"/>
      <c r="P41" s="152"/>
      <c r="Q41" s="152"/>
      <c r="R41" s="152"/>
      <c r="S41" s="152"/>
      <c r="T41" s="152"/>
      <c r="U41" s="152"/>
    </row>
    <row r="42" spans="1:21" ht="20.100000000000001" customHeight="1" x14ac:dyDescent="0.2">
      <c r="A42">
        <f t="shared" si="2"/>
        <v>38</v>
      </c>
      <c r="B42" s="45" t="s">
        <v>22</v>
      </c>
      <c r="C42" s="148" t="str">
        <f t="shared" ref="C42:C73" si="3">HLOOKUP($C$2,$E$5:$T$255,$A42,FALSE)</f>
        <v>Form 1065, Pg 5, Analysis of Net Income, Ln 1</v>
      </c>
      <c r="D42" s="46">
        <v>1</v>
      </c>
      <c r="E42" s="151" t="s">
        <v>702</v>
      </c>
      <c r="F42" s="155" t="s">
        <v>21</v>
      </c>
      <c r="G42" s="155" t="s">
        <v>21</v>
      </c>
      <c r="H42" s="155" t="s">
        <v>21</v>
      </c>
      <c r="I42" s="350" t="s">
        <v>21</v>
      </c>
      <c r="J42" s="155" t="s">
        <v>589</v>
      </c>
      <c r="K42" s="155" t="s">
        <v>589</v>
      </c>
      <c r="L42" s="155" t="s">
        <v>589</v>
      </c>
      <c r="M42" s="155" t="s">
        <v>589</v>
      </c>
      <c r="N42" s="155" t="s">
        <v>589</v>
      </c>
      <c r="O42" s="615" t="s">
        <v>589</v>
      </c>
      <c r="P42" s="684" t="s">
        <v>589</v>
      </c>
      <c r="Q42" s="698" t="s">
        <v>589</v>
      </c>
      <c r="R42" s="350" t="s">
        <v>589</v>
      </c>
      <c r="S42" s="350" t="s">
        <v>589</v>
      </c>
      <c r="T42" s="350" t="s">
        <v>589</v>
      </c>
      <c r="U42" s="350" t="s">
        <v>589</v>
      </c>
    </row>
    <row r="43" spans="1:21" x14ac:dyDescent="0.2">
      <c r="A43">
        <f t="shared" si="2"/>
        <v>39</v>
      </c>
      <c r="B43" s="45" t="s">
        <v>1261</v>
      </c>
      <c r="C43" s="148" t="str">
        <f t="shared" si="3"/>
        <v>1065 Pg 1, Ln 1a &amp; 8825 Ln 2</v>
      </c>
      <c r="D43" s="46">
        <f t="shared" ref="D43:D75" si="4">+D42+1</f>
        <v>2</v>
      </c>
      <c r="E43" s="151" t="s">
        <v>702</v>
      </c>
      <c r="F43" s="138" t="s">
        <v>1262</v>
      </c>
      <c r="G43" s="138" t="s">
        <v>1262</v>
      </c>
      <c r="H43" s="138" t="s">
        <v>1262</v>
      </c>
      <c r="I43" s="138" t="s">
        <v>1168</v>
      </c>
      <c r="J43" s="138" t="s">
        <v>1168</v>
      </c>
      <c r="K43" s="138" t="s">
        <v>1168</v>
      </c>
      <c r="L43" s="138" t="s">
        <v>1168</v>
      </c>
      <c r="M43" s="138" t="s">
        <v>268</v>
      </c>
      <c r="N43" s="138" t="s">
        <v>1168</v>
      </c>
      <c r="O43" s="613" t="s">
        <v>1168</v>
      </c>
      <c r="P43" s="683" t="s">
        <v>1168</v>
      </c>
      <c r="Q43" s="697" t="s">
        <v>1168</v>
      </c>
      <c r="R43" s="141" t="s">
        <v>1168</v>
      </c>
      <c r="S43" s="141" t="s">
        <v>1168</v>
      </c>
      <c r="T43" s="141" t="s">
        <v>1168</v>
      </c>
      <c r="U43" s="141" t="s">
        <v>1168</v>
      </c>
    </row>
    <row r="44" spans="1:21" x14ac:dyDescent="0.2">
      <c r="A44">
        <f t="shared" si="2"/>
        <v>40</v>
      </c>
      <c r="B44" s="40" t="s">
        <v>9</v>
      </c>
      <c r="C44" s="148" t="str">
        <f t="shared" si="3"/>
        <v>Form 1065, Sched K, Ln 5</v>
      </c>
      <c r="D44" s="46">
        <f t="shared" si="4"/>
        <v>3</v>
      </c>
      <c r="E44" s="151" t="s">
        <v>702</v>
      </c>
      <c r="F44" s="138" t="s">
        <v>1293</v>
      </c>
      <c r="G44" s="138" t="s">
        <v>1293</v>
      </c>
      <c r="H44" s="138" t="s">
        <v>1293</v>
      </c>
      <c r="I44" s="141" t="s">
        <v>1293</v>
      </c>
      <c r="J44" s="138" t="s">
        <v>1293</v>
      </c>
      <c r="K44" s="138" t="s">
        <v>1293</v>
      </c>
      <c r="L44" s="138" t="s">
        <v>1293</v>
      </c>
      <c r="M44" s="138" t="s">
        <v>1293</v>
      </c>
      <c r="N44" s="138" t="s">
        <v>1293</v>
      </c>
      <c r="O44" s="613" t="s">
        <v>1293</v>
      </c>
      <c r="P44" s="683" t="s">
        <v>1293</v>
      </c>
      <c r="Q44" s="697" t="s">
        <v>1293</v>
      </c>
      <c r="R44" s="141" t="s">
        <v>1293</v>
      </c>
      <c r="S44" s="141" t="s">
        <v>1293</v>
      </c>
      <c r="T44" s="141" t="s">
        <v>1293</v>
      </c>
      <c r="U44" s="141" t="s">
        <v>1293</v>
      </c>
    </row>
    <row r="45" spans="1:21" x14ac:dyDescent="0.2">
      <c r="A45">
        <f t="shared" si="2"/>
        <v>41</v>
      </c>
      <c r="B45" s="40" t="s">
        <v>10</v>
      </c>
      <c r="C45" s="148" t="str">
        <f t="shared" si="3"/>
        <v>Form 1065, Sched K, Ln 6a</v>
      </c>
      <c r="D45" s="46">
        <f t="shared" si="4"/>
        <v>4</v>
      </c>
      <c r="E45" s="151" t="s">
        <v>702</v>
      </c>
      <c r="F45" s="138" t="s">
        <v>1294</v>
      </c>
      <c r="G45" s="138" t="s">
        <v>1294</v>
      </c>
      <c r="H45" s="138" t="s">
        <v>1294</v>
      </c>
      <c r="I45" s="141" t="s">
        <v>1294</v>
      </c>
      <c r="J45" s="138" t="s">
        <v>1294</v>
      </c>
      <c r="K45" s="138" t="s">
        <v>1294</v>
      </c>
      <c r="L45" s="138" t="s">
        <v>1294</v>
      </c>
      <c r="M45" s="138" t="s">
        <v>1294</v>
      </c>
      <c r="N45" s="138" t="s">
        <v>1294</v>
      </c>
      <c r="O45" s="613" t="s">
        <v>1294</v>
      </c>
      <c r="P45" s="683" t="s">
        <v>1294</v>
      </c>
      <c r="Q45" s="697" t="s">
        <v>1294</v>
      </c>
      <c r="R45" s="141" t="s">
        <v>1294</v>
      </c>
      <c r="S45" s="141" t="s">
        <v>1294</v>
      </c>
      <c r="T45" s="141" t="s">
        <v>1294</v>
      </c>
      <c r="U45" s="141" t="s">
        <v>1294</v>
      </c>
    </row>
    <row r="46" spans="1:21" x14ac:dyDescent="0.2">
      <c r="A46">
        <f t="shared" si="2"/>
        <v>42</v>
      </c>
      <c r="B46" s="40" t="s">
        <v>11</v>
      </c>
      <c r="C46" s="148" t="str">
        <f t="shared" si="3"/>
        <v>Form 1065, Sched K, Ln 7</v>
      </c>
      <c r="D46" s="46">
        <f t="shared" si="4"/>
        <v>5</v>
      </c>
      <c r="E46" s="151" t="s">
        <v>702</v>
      </c>
      <c r="F46" s="138" t="s">
        <v>1295</v>
      </c>
      <c r="G46" s="138" t="s">
        <v>1295</v>
      </c>
      <c r="H46" s="138" t="s">
        <v>1295</v>
      </c>
      <c r="I46" s="141" t="s">
        <v>1295</v>
      </c>
      <c r="J46" s="138" t="s">
        <v>1295</v>
      </c>
      <c r="K46" s="138" t="s">
        <v>1295</v>
      </c>
      <c r="L46" s="138" t="s">
        <v>1295</v>
      </c>
      <c r="M46" s="138" t="s">
        <v>1295</v>
      </c>
      <c r="N46" s="138" t="s">
        <v>1295</v>
      </c>
      <c r="O46" s="613" t="s">
        <v>1295</v>
      </c>
      <c r="P46" s="683" t="s">
        <v>1295</v>
      </c>
      <c r="Q46" s="697" t="s">
        <v>1295</v>
      </c>
      <c r="R46" s="141" t="s">
        <v>1295</v>
      </c>
      <c r="S46" s="141" t="s">
        <v>1295</v>
      </c>
      <c r="T46" s="141" t="s">
        <v>1295</v>
      </c>
      <c r="U46" s="141" t="s">
        <v>1295</v>
      </c>
    </row>
    <row r="47" spans="1:21" x14ac:dyDescent="0.2">
      <c r="A47">
        <f t="shared" si="2"/>
        <v>43</v>
      </c>
      <c r="B47" s="40" t="s">
        <v>112</v>
      </c>
      <c r="C47" s="148" t="str">
        <f t="shared" si="3"/>
        <v>Part of 1065, Pg 1, Ln 4</v>
      </c>
      <c r="D47" s="46">
        <f t="shared" si="4"/>
        <v>6</v>
      </c>
      <c r="E47" s="151" t="s">
        <v>702</v>
      </c>
      <c r="F47" s="142" t="s">
        <v>113</v>
      </c>
      <c r="G47" s="142" t="s">
        <v>113</v>
      </c>
      <c r="H47" s="142" t="s">
        <v>113</v>
      </c>
      <c r="I47" s="349" t="s">
        <v>113</v>
      </c>
      <c r="J47" s="142" t="s">
        <v>113</v>
      </c>
      <c r="K47" s="142" t="s">
        <v>113</v>
      </c>
      <c r="L47" s="142" t="s">
        <v>113</v>
      </c>
      <c r="M47" s="142" t="s">
        <v>113</v>
      </c>
      <c r="N47" s="142" t="s">
        <v>113</v>
      </c>
      <c r="O47" s="614" t="s">
        <v>113</v>
      </c>
      <c r="P47" s="682" t="s">
        <v>113</v>
      </c>
      <c r="Q47" s="696" t="s">
        <v>113</v>
      </c>
      <c r="R47" s="349" t="s">
        <v>113</v>
      </c>
      <c r="S47" s="349" t="s">
        <v>113</v>
      </c>
      <c r="T47" s="349" t="s">
        <v>113</v>
      </c>
      <c r="U47" s="349" t="s">
        <v>113</v>
      </c>
    </row>
    <row r="48" spans="1:21" x14ac:dyDescent="0.2">
      <c r="A48">
        <f t="shared" si="2"/>
        <v>44</v>
      </c>
      <c r="B48" s="40" t="s">
        <v>1201</v>
      </c>
      <c r="C48" s="148" t="str">
        <f t="shared" si="3"/>
        <v>Not Applicable</v>
      </c>
      <c r="D48" s="46">
        <f t="shared" si="4"/>
        <v>7</v>
      </c>
      <c r="E48" s="151" t="s">
        <v>702</v>
      </c>
      <c r="F48" s="138" t="s">
        <v>683</v>
      </c>
      <c r="G48" s="138" t="s">
        <v>683</v>
      </c>
      <c r="H48" s="138" t="s">
        <v>683</v>
      </c>
      <c r="I48" s="138" t="s">
        <v>683</v>
      </c>
      <c r="J48" s="138" t="s">
        <v>683</v>
      </c>
      <c r="K48" s="138" t="s">
        <v>683</v>
      </c>
      <c r="L48" s="138" t="s">
        <v>683</v>
      </c>
      <c r="M48" s="138" t="s">
        <v>683</v>
      </c>
      <c r="N48" s="138" t="s">
        <v>683</v>
      </c>
      <c r="O48" s="613" t="s">
        <v>683</v>
      </c>
      <c r="P48" s="683" t="s">
        <v>683</v>
      </c>
      <c r="Q48" s="697" t="s">
        <v>683</v>
      </c>
      <c r="R48" s="141" t="s">
        <v>683</v>
      </c>
      <c r="S48" s="141" t="s">
        <v>683</v>
      </c>
      <c r="T48" s="141" t="s">
        <v>683</v>
      </c>
      <c r="U48" s="141" t="s">
        <v>683</v>
      </c>
    </row>
    <row r="49" spans="1:21" x14ac:dyDescent="0.2">
      <c r="A49">
        <f t="shared" si="2"/>
        <v>45</v>
      </c>
      <c r="B49" s="40" t="s">
        <v>1202</v>
      </c>
      <c r="C49" s="148" t="str">
        <f t="shared" si="3"/>
        <v>Form 1065, Pg 1, Ln 9</v>
      </c>
      <c r="D49" s="46">
        <f t="shared" si="4"/>
        <v>8</v>
      </c>
      <c r="E49" s="151" t="s">
        <v>702</v>
      </c>
      <c r="F49" s="138" t="s">
        <v>1205</v>
      </c>
      <c r="G49" s="138" t="s">
        <v>1205</v>
      </c>
      <c r="H49" s="138" t="s">
        <v>1205</v>
      </c>
      <c r="I49" s="141" t="s">
        <v>1205</v>
      </c>
      <c r="J49" s="138" t="s">
        <v>1205</v>
      </c>
      <c r="K49" s="138" t="s">
        <v>1205</v>
      </c>
      <c r="L49" s="138" t="s">
        <v>1205</v>
      </c>
      <c r="M49" s="142" t="s">
        <v>1205</v>
      </c>
      <c r="N49" s="142" t="s">
        <v>1205</v>
      </c>
      <c r="O49" s="614" t="s">
        <v>1205</v>
      </c>
      <c r="P49" s="682" t="s">
        <v>1205</v>
      </c>
      <c r="Q49" s="696" t="s">
        <v>1205</v>
      </c>
      <c r="R49" s="349" t="s">
        <v>1205</v>
      </c>
      <c r="S49" s="349" t="s">
        <v>1205</v>
      </c>
      <c r="T49" s="349" t="s">
        <v>1205</v>
      </c>
      <c r="U49" s="349" t="s">
        <v>1205</v>
      </c>
    </row>
    <row r="50" spans="1:21" x14ac:dyDescent="0.2">
      <c r="A50">
        <f t="shared" si="2"/>
        <v>46</v>
      </c>
      <c r="B50" s="40" t="s">
        <v>1203</v>
      </c>
      <c r="C50" s="148" t="str">
        <f t="shared" si="3"/>
        <v>1125-A, Pg 1, Ln 3</v>
      </c>
      <c r="D50" s="46">
        <f t="shared" si="4"/>
        <v>9</v>
      </c>
      <c r="E50" s="151" t="s">
        <v>702</v>
      </c>
      <c r="F50" s="138" t="s">
        <v>1296</v>
      </c>
      <c r="G50" s="138" t="s">
        <v>1296</v>
      </c>
      <c r="H50" s="138" t="s">
        <v>1296</v>
      </c>
      <c r="I50" s="141" t="s">
        <v>1296</v>
      </c>
      <c r="J50" s="138" t="s">
        <v>1296</v>
      </c>
      <c r="K50" s="138" t="s">
        <v>1296</v>
      </c>
      <c r="L50" s="138" t="s">
        <v>1296</v>
      </c>
      <c r="M50" s="141" t="s">
        <v>267</v>
      </c>
      <c r="N50" s="141" t="s">
        <v>267</v>
      </c>
      <c r="O50" s="613" t="s">
        <v>267</v>
      </c>
      <c r="P50" s="683" t="s">
        <v>267</v>
      </c>
      <c r="Q50" s="697" t="s">
        <v>267</v>
      </c>
      <c r="R50" s="141" t="s">
        <v>267</v>
      </c>
      <c r="S50" s="141" t="s">
        <v>267</v>
      </c>
      <c r="T50" s="141" t="s">
        <v>267</v>
      </c>
      <c r="U50" s="141" t="s">
        <v>267</v>
      </c>
    </row>
    <row r="51" spans="1:21" x14ac:dyDescent="0.2">
      <c r="A51">
        <f t="shared" si="2"/>
        <v>47</v>
      </c>
      <c r="B51" s="40" t="s">
        <v>1204</v>
      </c>
      <c r="C51" s="148" t="str">
        <f t="shared" si="3"/>
        <v>Various</v>
      </c>
      <c r="D51" s="46">
        <f t="shared" si="4"/>
        <v>10</v>
      </c>
      <c r="E51" s="151" t="s">
        <v>702</v>
      </c>
      <c r="F51" s="138" t="s">
        <v>752</v>
      </c>
      <c r="G51" s="138" t="s">
        <v>752</v>
      </c>
      <c r="H51" s="138" t="s">
        <v>752</v>
      </c>
      <c r="I51" s="138" t="s">
        <v>752</v>
      </c>
      <c r="J51" s="138" t="s">
        <v>752</v>
      </c>
      <c r="K51" s="138" t="s">
        <v>752</v>
      </c>
      <c r="L51" s="138" t="s">
        <v>752</v>
      </c>
      <c r="M51" s="138" t="s">
        <v>752</v>
      </c>
      <c r="N51" s="138" t="s">
        <v>752</v>
      </c>
      <c r="O51" s="613" t="s">
        <v>752</v>
      </c>
      <c r="P51" s="683" t="s">
        <v>752</v>
      </c>
      <c r="Q51" s="697" t="s">
        <v>752</v>
      </c>
      <c r="R51" s="141" t="s">
        <v>752</v>
      </c>
      <c r="S51" s="141" t="s">
        <v>752</v>
      </c>
      <c r="T51" s="141" t="s">
        <v>752</v>
      </c>
      <c r="U51" s="141" t="s">
        <v>752</v>
      </c>
    </row>
    <row r="52" spans="1:21" x14ac:dyDescent="0.2">
      <c r="A52">
        <f t="shared" si="2"/>
        <v>48</v>
      </c>
      <c r="B52" s="40" t="s">
        <v>1322</v>
      </c>
      <c r="C52" s="148" t="str">
        <f t="shared" si="3"/>
        <v>Part of 1065, Pg 1, Ln 13</v>
      </c>
      <c r="D52" s="46">
        <f t="shared" si="4"/>
        <v>11</v>
      </c>
      <c r="E52" s="151" t="s">
        <v>702</v>
      </c>
      <c r="F52" s="142" t="s">
        <v>1326</v>
      </c>
      <c r="G52" s="142" t="s">
        <v>1326</v>
      </c>
      <c r="H52" s="142" t="s">
        <v>1326</v>
      </c>
      <c r="I52" s="349" t="s">
        <v>1326</v>
      </c>
      <c r="J52" s="142" t="s">
        <v>1326</v>
      </c>
      <c r="K52" s="142" t="s">
        <v>1326</v>
      </c>
      <c r="L52" s="142" t="s">
        <v>1326</v>
      </c>
      <c r="M52" s="142" t="s">
        <v>1326</v>
      </c>
      <c r="N52" s="142" t="s">
        <v>1326</v>
      </c>
      <c r="O52" s="614" t="s">
        <v>1326</v>
      </c>
      <c r="P52" s="682" t="s">
        <v>1326</v>
      </c>
      <c r="Q52" s="696" t="s">
        <v>1326</v>
      </c>
      <c r="R52" s="349" t="s">
        <v>1326</v>
      </c>
      <c r="S52" s="349" t="s">
        <v>1326</v>
      </c>
      <c r="T52" s="349" t="s">
        <v>1326</v>
      </c>
      <c r="U52" s="349" t="s">
        <v>1326</v>
      </c>
    </row>
    <row r="53" spans="1:21" x14ac:dyDescent="0.2">
      <c r="A53">
        <f t="shared" si="2"/>
        <v>49</v>
      </c>
      <c r="B53" s="40" t="s">
        <v>1325</v>
      </c>
      <c r="C53" s="148" t="str">
        <f t="shared" si="3"/>
        <v>Part of Form 1125-A, Ln 5</v>
      </c>
      <c r="D53" s="46">
        <f t="shared" si="4"/>
        <v>12</v>
      </c>
      <c r="E53" s="151" t="s">
        <v>702</v>
      </c>
      <c r="F53" s="148" t="s">
        <v>710</v>
      </c>
      <c r="G53" s="148" t="s">
        <v>710</v>
      </c>
      <c r="H53" s="148" t="s">
        <v>710</v>
      </c>
      <c r="I53" s="348" t="s">
        <v>710</v>
      </c>
      <c r="J53" s="142" t="s">
        <v>710</v>
      </c>
      <c r="K53" s="142" t="s">
        <v>710</v>
      </c>
      <c r="L53" s="142" t="s">
        <v>710</v>
      </c>
      <c r="M53" s="349" t="s">
        <v>269</v>
      </c>
      <c r="N53" s="349" t="s">
        <v>269</v>
      </c>
      <c r="O53" s="614" t="s">
        <v>269</v>
      </c>
      <c r="P53" s="682" t="s">
        <v>269</v>
      </c>
      <c r="Q53" s="696" t="s">
        <v>269</v>
      </c>
      <c r="R53" s="349" t="s">
        <v>269</v>
      </c>
      <c r="S53" s="349" t="s">
        <v>269</v>
      </c>
      <c r="T53" s="349" t="s">
        <v>269</v>
      </c>
      <c r="U53" s="349" t="s">
        <v>269</v>
      </c>
    </row>
    <row r="54" spans="1:21" ht="24.95" customHeight="1" x14ac:dyDescent="0.2">
      <c r="A54">
        <f t="shared" si="2"/>
        <v>50</v>
      </c>
      <c r="B54" s="40" t="s">
        <v>1266</v>
      </c>
      <c r="C54" s="148" t="str">
        <f t="shared" si="3"/>
        <v>Part of 1065, Pg 1, Ln 14 &amp; Part of 8825, Ln 11</v>
      </c>
      <c r="D54" s="46">
        <f t="shared" si="4"/>
        <v>13</v>
      </c>
      <c r="E54" s="155" t="s">
        <v>702</v>
      </c>
      <c r="F54" s="159" t="s">
        <v>457</v>
      </c>
      <c r="G54" s="159" t="s">
        <v>457</v>
      </c>
      <c r="H54" s="159" t="s">
        <v>457</v>
      </c>
      <c r="I54" s="153" t="s">
        <v>457</v>
      </c>
      <c r="J54" s="155" t="s">
        <v>457</v>
      </c>
      <c r="K54" s="155" t="s">
        <v>457</v>
      </c>
      <c r="L54" s="155" t="s">
        <v>457</v>
      </c>
      <c r="M54" s="155" t="s">
        <v>457</v>
      </c>
      <c r="N54" s="155" t="s">
        <v>457</v>
      </c>
      <c r="O54" s="615" t="s">
        <v>457</v>
      </c>
      <c r="P54" s="684" t="s">
        <v>457</v>
      </c>
      <c r="Q54" s="698" t="s">
        <v>457</v>
      </c>
      <c r="R54" s="350" t="s">
        <v>457</v>
      </c>
      <c r="S54" s="350" t="s">
        <v>457</v>
      </c>
      <c r="T54" s="350" t="s">
        <v>457</v>
      </c>
      <c r="U54" s="350" t="s">
        <v>457</v>
      </c>
    </row>
    <row r="55" spans="1:21" x14ac:dyDescent="0.2">
      <c r="A55">
        <f t="shared" si="2"/>
        <v>51</v>
      </c>
      <c r="B55" s="45" t="s">
        <v>110</v>
      </c>
      <c r="C55" s="148" t="str">
        <f t="shared" si="3"/>
        <v>1065, Sched L, Ln 3(b)</v>
      </c>
      <c r="D55" s="46">
        <f t="shared" si="4"/>
        <v>14</v>
      </c>
      <c r="E55" s="151" t="s">
        <v>702</v>
      </c>
      <c r="F55" s="148" t="s">
        <v>711</v>
      </c>
      <c r="G55" s="148" t="s">
        <v>711</v>
      </c>
      <c r="H55" s="148" t="s">
        <v>711</v>
      </c>
      <c r="I55" s="348" t="s">
        <v>711</v>
      </c>
      <c r="J55" s="142" t="s">
        <v>711</v>
      </c>
      <c r="K55" s="142" t="s">
        <v>711</v>
      </c>
      <c r="L55" s="142" t="s">
        <v>711</v>
      </c>
      <c r="M55" s="142" t="s">
        <v>711</v>
      </c>
      <c r="N55" s="142" t="s">
        <v>711</v>
      </c>
      <c r="O55" s="614" t="s">
        <v>711</v>
      </c>
      <c r="P55" s="682" t="s">
        <v>711</v>
      </c>
      <c r="Q55" s="696" t="s">
        <v>711</v>
      </c>
      <c r="R55" s="349" t="s">
        <v>711</v>
      </c>
      <c r="S55" s="349" t="s">
        <v>711</v>
      </c>
      <c r="T55" s="349" t="s">
        <v>711</v>
      </c>
      <c r="U55" s="349" t="s">
        <v>711</v>
      </c>
    </row>
    <row r="56" spans="1:21" x14ac:dyDescent="0.2">
      <c r="A56">
        <f t="shared" si="2"/>
        <v>52</v>
      </c>
      <c r="B56" s="45" t="s">
        <v>111</v>
      </c>
      <c r="C56" s="148" t="str">
        <f t="shared" si="3"/>
        <v>1065, Sched L, Ln 3(d)</v>
      </c>
      <c r="D56" s="46">
        <f t="shared" si="4"/>
        <v>15</v>
      </c>
      <c r="E56" s="151" t="s">
        <v>702</v>
      </c>
      <c r="F56" s="148" t="s">
        <v>712</v>
      </c>
      <c r="G56" s="148" t="s">
        <v>712</v>
      </c>
      <c r="H56" s="148" t="s">
        <v>712</v>
      </c>
      <c r="I56" s="348" t="s">
        <v>712</v>
      </c>
      <c r="J56" s="142" t="s">
        <v>712</v>
      </c>
      <c r="K56" s="142" t="s">
        <v>712</v>
      </c>
      <c r="L56" s="142" t="s">
        <v>712</v>
      </c>
      <c r="M56" s="142" t="s">
        <v>712</v>
      </c>
      <c r="N56" s="142" t="s">
        <v>712</v>
      </c>
      <c r="O56" s="614" t="s">
        <v>712</v>
      </c>
      <c r="P56" s="682" t="s">
        <v>712</v>
      </c>
      <c r="Q56" s="696" t="s">
        <v>712</v>
      </c>
      <c r="R56" s="349" t="s">
        <v>712</v>
      </c>
      <c r="S56" s="349" t="s">
        <v>712</v>
      </c>
      <c r="T56" s="349" t="s">
        <v>712</v>
      </c>
      <c r="U56" s="349" t="s">
        <v>712</v>
      </c>
    </row>
    <row r="57" spans="1:21" x14ac:dyDescent="0.2">
      <c r="A57">
        <f t="shared" si="2"/>
        <v>53</v>
      </c>
      <c r="B57" s="85" t="s">
        <v>1302</v>
      </c>
      <c r="C57" s="148" t="str">
        <f t="shared" si="3"/>
        <v>1065, Sched L, Ln 9a(a)</v>
      </c>
      <c r="D57" s="46">
        <f t="shared" si="4"/>
        <v>16</v>
      </c>
      <c r="E57" s="151" t="s">
        <v>702</v>
      </c>
      <c r="F57" s="148" t="s">
        <v>713</v>
      </c>
      <c r="G57" s="148" t="s">
        <v>713</v>
      </c>
      <c r="H57" s="148" t="s">
        <v>713</v>
      </c>
      <c r="I57" s="348" t="s">
        <v>713</v>
      </c>
      <c r="J57" s="142" t="s">
        <v>713</v>
      </c>
      <c r="K57" s="142" t="s">
        <v>713</v>
      </c>
      <c r="L57" s="142" t="s">
        <v>713</v>
      </c>
      <c r="M57" s="142" t="s">
        <v>713</v>
      </c>
      <c r="N57" s="142" t="s">
        <v>713</v>
      </c>
      <c r="O57" s="614" t="s">
        <v>713</v>
      </c>
      <c r="P57" s="682" t="s">
        <v>713</v>
      </c>
      <c r="Q57" s="696" t="s">
        <v>713</v>
      </c>
      <c r="R57" s="349" t="s">
        <v>713</v>
      </c>
      <c r="S57" s="349" t="s">
        <v>713</v>
      </c>
      <c r="T57" s="349" t="s">
        <v>713</v>
      </c>
      <c r="U57" s="349" t="s">
        <v>713</v>
      </c>
    </row>
    <row r="58" spans="1:21" x14ac:dyDescent="0.2">
      <c r="A58">
        <f t="shared" si="2"/>
        <v>54</v>
      </c>
      <c r="B58" s="85" t="s">
        <v>1321</v>
      </c>
      <c r="C58" s="148" t="str">
        <f t="shared" si="3"/>
        <v>1065, Sched L, Ln 9a(c)</v>
      </c>
      <c r="D58" s="46">
        <f t="shared" si="4"/>
        <v>17</v>
      </c>
      <c r="E58" s="151" t="s">
        <v>702</v>
      </c>
      <c r="F58" s="148" t="s">
        <v>714</v>
      </c>
      <c r="G58" s="148" t="s">
        <v>714</v>
      </c>
      <c r="H58" s="148" t="s">
        <v>714</v>
      </c>
      <c r="I58" s="348" t="s">
        <v>714</v>
      </c>
      <c r="J58" s="142" t="s">
        <v>714</v>
      </c>
      <c r="K58" s="142" t="s">
        <v>714</v>
      </c>
      <c r="L58" s="142" t="s">
        <v>714</v>
      </c>
      <c r="M58" s="142" t="s">
        <v>714</v>
      </c>
      <c r="N58" s="142" t="s">
        <v>714</v>
      </c>
      <c r="O58" s="614" t="s">
        <v>714</v>
      </c>
      <c r="P58" s="682" t="s">
        <v>714</v>
      </c>
      <c r="Q58" s="696" t="s">
        <v>714</v>
      </c>
      <c r="R58" s="349" t="s">
        <v>714</v>
      </c>
      <c r="S58" s="349" t="s">
        <v>714</v>
      </c>
      <c r="T58" s="349" t="s">
        <v>714</v>
      </c>
      <c r="U58" s="349" t="s">
        <v>714</v>
      </c>
    </row>
    <row r="59" spans="1:21" x14ac:dyDescent="0.2">
      <c r="A59">
        <f t="shared" si="2"/>
        <v>55</v>
      </c>
      <c r="B59" s="85" t="s">
        <v>1303</v>
      </c>
      <c r="C59" s="148" t="str">
        <f t="shared" si="3"/>
        <v>1065, Sched L, Ln 10a(a)</v>
      </c>
      <c r="D59" s="46">
        <f t="shared" si="4"/>
        <v>18</v>
      </c>
      <c r="E59" s="151" t="s">
        <v>702</v>
      </c>
      <c r="F59" s="148" t="s">
        <v>715</v>
      </c>
      <c r="G59" s="148" t="s">
        <v>715</v>
      </c>
      <c r="H59" s="148" t="s">
        <v>715</v>
      </c>
      <c r="I59" s="348" t="s">
        <v>715</v>
      </c>
      <c r="J59" s="142" t="s">
        <v>715</v>
      </c>
      <c r="K59" s="142" t="s">
        <v>715</v>
      </c>
      <c r="L59" s="142" t="s">
        <v>715</v>
      </c>
      <c r="M59" s="142" t="s">
        <v>715</v>
      </c>
      <c r="N59" s="142" t="s">
        <v>715</v>
      </c>
      <c r="O59" s="614" t="s">
        <v>715</v>
      </c>
      <c r="P59" s="682" t="s">
        <v>715</v>
      </c>
      <c r="Q59" s="696" t="s">
        <v>715</v>
      </c>
      <c r="R59" s="349" t="s">
        <v>715</v>
      </c>
      <c r="S59" s="349" t="s">
        <v>715</v>
      </c>
      <c r="T59" s="349" t="s">
        <v>715</v>
      </c>
      <c r="U59" s="349" t="s">
        <v>715</v>
      </c>
    </row>
    <row r="60" spans="1:21" x14ac:dyDescent="0.2">
      <c r="A60">
        <f t="shared" si="2"/>
        <v>56</v>
      </c>
      <c r="B60" s="85" t="s">
        <v>1306</v>
      </c>
      <c r="C60" s="148" t="str">
        <f t="shared" si="3"/>
        <v>1065, Sched L, Ln 10a(c)</v>
      </c>
      <c r="D60" s="46">
        <f t="shared" si="4"/>
        <v>19</v>
      </c>
      <c r="E60" s="151" t="s">
        <v>702</v>
      </c>
      <c r="F60" s="148" t="s">
        <v>718</v>
      </c>
      <c r="G60" s="148" t="s">
        <v>718</v>
      </c>
      <c r="H60" s="148" t="s">
        <v>718</v>
      </c>
      <c r="I60" s="348" t="s">
        <v>718</v>
      </c>
      <c r="J60" s="142" t="s">
        <v>718</v>
      </c>
      <c r="K60" s="142" t="s">
        <v>718</v>
      </c>
      <c r="L60" s="142" t="s">
        <v>718</v>
      </c>
      <c r="M60" s="142" t="s">
        <v>718</v>
      </c>
      <c r="N60" s="142" t="s">
        <v>718</v>
      </c>
      <c r="O60" s="614" t="s">
        <v>718</v>
      </c>
      <c r="P60" s="682" t="s">
        <v>718</v>
      </c>
      <c r="Q60" s="696" t="s">
        <v>718</v>
      </c>
      <c r="R60" s="349" t="s">
        <v>718</v>
      </c>
      <c r="S60" s="349" t="s">
        <v>718</v>
      </c>
      <c r="T60" s="349" t="s">
        <v>718</v>
      </c>
      <c r="U60" s="349" t="s">
        <v>718</v>
      </c>
    </row>
    <row r="61" spans="1:21" x14ac:dyDescent="0.2">
      <c r="A61">
        <f t="shared" si="2"/>
        <v>57</v>
      </c>
      <c r="B61" s="85" t="s">
        <v>1304</v>
      </c>
      <c r="C61" s="148" t="str">
        <f t="shared" si="3"/>
        <v>1065, Sched L, Ln 11(b)</v>
      </c>
      <c r="D61" s="46">
        <f t="shared" si="4"/>
        <v>20</v>
      </c>
      <c r="E61" s="151" t="s">
        <v>702</v>
      </c>
      <c r="F61" s="148" t="s">
        <v>719</v>
      </c>
      <c r="G61" s="148" t="s">
        <v>719</v>
      </c>
      <c r="H61" s="148" t="s">
        <v>719</v>
      </c>
      <c r="I61" s="348" t="s">
        <v>719</v>
      </c>
      <c r="J61" s="142" t="s">
        <v>719</v>
      </c>
      <c r="K61" s="142" t="s">
        <v>719</v>
      </c>
      <c r="L61" s="142" t="s">
        <v>719</v>
      </c>
      <c r="M61" s="142" t="s">
        <v>719</v>
      </c>
      <c r="N61" s="142" t="s">
        <v>719</v>
      </c>
      <c r="O61" s="614" t="s">
        <v>719</v>
      </c>
      <c r="P61" s="682" t="s">
        <v>719</v>
      </c>
      <c r="Q61" s="696" t="s">
        <v>719</v>
      </c>
      <c r="R61" s="349" t="s">
        <v>719</v>
      </c>
      <c r="S61" s="349" t="s">
        <v>719</v>
      </c>
      <c r="T61" s="349" t="s">
        <v>719</v>
      </c>
      <c r="U61" s="349" t="s">
        <v>719</v>
      </c>
    </row>
    <row r="62" spans="1:21" x14ac:dyDescent="0.2">
      <c r="A62">
        <f t="shared" si="2"/>
        <v>58</v>
      </c>
      <c r="B62" s="85" t="s">
        <v>1305</v>
      </c>
      <c r="C62" s="148" t="str">
        <f t="shared" si="3"/>
        <v>1065, Sched L, Ln 11(d)</v>
      </c>
      <c r="D62" s="46">
        <f t="shared" si="4"/>
        <v>21</v>
      </c>
      <c r="E62" s="151" t="s">
        <v>702</v>
      </c>
      <c r="F62" s="148" t="s">
        <v>720</v>
      </c>
      <c r="G62" s="148" t="s">
        <v>720</v>
      </c>
      <c r="H62" s="148" t="s">
        <v>720</v>
      </c>
      <c r="I62" s="348" t="s">
        <v>720</v>
      </c>
      <c r="J62" s="142" t="s">
        <v>720</v>
      </c>
      <c r="K62" s="142" t="s">
        <v>720</v>
      </c>
      <c r="L62" s="142" t="s">
        <v>720</v>
      </c>
      <c r="M62" s="142" t="s">
        <v>720</v>
      </c>
      <c r="N62" s="142" t="s">
        <v>720</v>
      </c>
      <c r="O62" s="614" t="s">
        <v>720</v>
      </c>
      <c r="P62" s="682" t="s">
        <v>720</v>
      </c>
      <c r="Q62" s="696" t="s">
        <v>720</v>
      </c>
      <c r="R62" s="349" t="s">
        <v>720</v>
      </c>
      <c r="S62" s="349" t="s">
        <v>720</v>
      </c>
      <c r="T62" s="349" t="s">
        <v>720</v>
      </c>
      <c r="U62" s="349" t="s">
        <v>720</v>
      </c>
    </row>
    <row r="63" spans="1:21" x14ac:dyDescent="0.2">
      <c r="A63">
        <f t="shared" si="2"/>
        <v>59</v>
      </c>
      <c r="B63" s="40" t="s">
        <v>23</v>
      </c>
      <c r="C63" s="148" t="str">
        <f t="shared" si="3"/>
        <v>Form 1065, Sched K, Ln 8</v>
      </c>
      <c r="D63" s="46">
        <f t="shared" si="4"/>
        <v>22</v>
      </c>
      <c r="E63" s="151" t="s">
        <v>702</v>
      </c>
      <c r="F63" s="138" t="s">
        <v>753</v>
      </c>
      <c r="G63" s="138" t="s">
        <v>753</v>
      </c>
      <c r="H63" s="138" t="s">
        <v>753</v>
      </c>
      <c r="I63" s="141" t="s">
        <v>753</v>
      </c>
      <c r="J63" s="138" t="s">
        <v>753</v>
      </c>
      <c r="K63" s="138" t="s">
        <v>124</v>
      </c>
      <c r="L63" s="138" t="s">
        <v>270</v>
      </c>
      <c r="M63" s="138" t="s">
        <v>270</v>
      </c>
      <c r="N63" s="138" t="s">
        <v>270</v>
      </c>
      <c r="O63" s="613" t="s">
        <v>270</v>
      </c>
      <c r="P63" s="683" t="s">
        <v>270</v>
      </c>
      <c r="Q63" s="697" t="s">
        <v>270</v>
      </c>
      <c r="R63" s="141" t="s">
        <v>270</v>
      </c>
      <c r="S63" s="141" t="s">
        <v>270</v>
      </c>
      <c r="T63" s="141" t="s">
        <v>270</v>
      </c>
      <c r="U63" s="141" t="s">
        <v>270</v>
      </c>
    </row>
    <row r="64" spans="1:21" x14ac:dyDescent="0.2">
      <c r="A64">
        <f t="shared" si="2"/>
        <v>60</v>
      </c>
      <c r="B64" s="40" t="s">
        <v>24</v>
      </c>
      <c r="C64" s="148" t="str">
        <f t="shared" si="3"/>
        <v>Form 1065, Sched K, Ln 9a</v>
      </c>
      <c r="D64" s="46">
        <f t="shared" si="4"/>
        <v>23</v>
      </c>
      <c r="E64" s="151" t="s">
        <v>702</v>
      </c>
      <c r="F64" s="138" t="s">
        <v>755</v>
      </c>
      <c r="G64" s="138" t="s">
        <v>755</v>
      </c>
      <c r="H64" s="138" t="s">
        <v>755</v>
      </c>
      <c r="I64" s="141" t="s">
        <v>755</v>
      </c>
      <c r="J64" s="138" t="s">
        <v>755</v>
      </c>
      <c r="K64" s="138" t="s">
        <v>125</v>
      </c>
      <c r="L64" s="138" t="s">
        <v>271</v>
      </c>
      <c r="M64" s="138" t="s">
        <v>271</v>
      </c>
      <c r="N64" s="138" t="s">
        <v>271</v>
      </c>
      <c r="O64" s="613" t="s">
        <v>271</v>
      </c>
      <c r="P64" s="683" t="s">
        <v>271</v>
      </c>
      <c r="Q64" s="697" t="s">
        <v>271</v>
      </c>
      <c r="R64" s="141" t="s">
        <v>271</v>
      </c>
      <c r="S64" s="141" t="s">
        <v>271</v>
      </c>
      <c r="T64" s="141" t="s">
        <v>271</v>
      </c>
      <c r="U64" s="141" t="s">
        <v>271</v>
      </c>
    </row>
    <row r="65" spans="1:21" x14ac:dyDescent="0.2">
      <c r="A65">
        <f t="shared" si="2"/>
        <v>61</v>
      </c>
      <c r="B65" s="40" t="s">
        <v>25</v>
      </c>
      <c r="C65" s="148" t="str">
        <f t="shared" si="3"/>
        <v>Form 1065, Sched K, Ln 10</v>
      </c>
      <c r="D65" s="46">
        <f t="shared" si="4"/>
        <v>24</v>
      </c>
      <c r="E65" s="151" t="s">
        <v>702</v>
      </c>
      <c r="F65" s="138" t="s">
        <v>1297</v>
      </c>
      <c r="G65" s="138" t="s">
        <v>1297</v>
      </c>
      <c r="H65" s="138" t="s">
        <v>1297</v>
      </c>
      <c r="I65" s="141" t="s">
        <v>1297</v>
      </c>
      <c r="J65" s="138" t="s">
        <v>1297</v>
      </c>
      <c r="K65" s="138" t="s">
        <v>1297</v>
      </c>
      <c r="L65" s="138" t="s">
        <v>1297</v>
      </c>
      <c r="M65" s="138" t="s">
        <v>1297</v>
      </c>
      <c r="N65" s="138" t="s">
        <v>1297</v>
      </c>
      <c r="O65" s="613" t="s">
        <v>1297</v>
      </c>
      <c r="P65" s="683" t="s">
        <v>1297</v>
      </c>
      <c r="Q65" s="697" t="s">
        <v>1297</v>
      </c>
      <c r="R65" s="141" t="s">
        <v>1297</v>
      </c>
      <c r="S65" s="141" t="s">
        <v>1297</v>
      </c>
      <c r="T65" s="141" t="s">
        <v>1297</v>
      </c>
      <c r="U65" s="141" t="s">
        <v>1297</v>
      </c>
    </row>
    <row r="66" spans="1:21" x14ac:dyDescent="0.2">
      <c r="A66">
        <f t="shared" si="2"/>
        <v>62</v>
      </c>
      <c r="B66" s="40" t="s">
        <v>26</v>
      </c>
      <c r="C66" s="148" t="str">
        <f t="shared" si="3"/>
        <v>Form 1065, Sched K, Ln 12</v>
      </c>
      <c r="D66" s="46">
        <f t="shared" si="4"/>
        <v>25</v>
      </c>
      <c r="E66" s="151" t="s">
        <v>702</v>
      </c>
      <c r="F66" s="141" t="s">
        <v>1298</v>
      </c>
      <c r="G66" s="141" t="s">
        <v>1298</v>
      </c>
      <c r="H66" s="141" t="s">
        <v>1298</v>
      </c>
      <c r="I66" s="141" t="s">
        <v>1298</v>
      </c>
      <c r="J66" s="141" t="s">
        <v>1298</v>
      </c>
      <c r="K66" s="141" t="s">
        <v>1298</v>
      </c>
      <c r="L66" s="141" t="s">
        <v>1298</v>
      </c>
      <c r="M66" s="141" t="s">
        <v>1298</v>
      </c>
      <c r="N66" s="141" t="s">
        <v>1298</v>
      </c>
      <c r="O66" s="613" t="s">
        <v>1298</v>
      </c>
      <c r="P66" s="683" t="s">
        <v>1298</v>
      </c>
      <c r="Q66" s="697" t="s">
        <v>1298</v>
      </c>
      <c r="R66" s="141" t="s">
        <v>1298</v>
      </c>
      <c r="S66" s="141" t="s">
        <v>1298</v>
      </c>
      <c r="T66" s="141" t="s">
        <v>1298</v>
      </c>
      <c r="U66" s="141" t="s">
        <v>1298</v>
      </c>
    </row>
    <row r="67" spans="1:21" x14ac:dyDescent="0.2">
      <c r="A67">
        <f t="shared" si="2"/>
        <v>63</v>
      </c>
      <c r="B67" s="40" t="s">
        <v>361</v>
      </c>
      <c r="C67" s="148" t="str">
        <f t="shared" si="3"/>
        <v>4562, Part I, Ln 13</v>
      </c>
      <c r="D67" s="46">
        <f t="shared" si="4"/>
        <v>26</v>
      </c>
      <c r="E67" s="151" t="s">
        <v>702</v>
      </c>
      <c r="F67" s="141" t="s">
        <v>362</v>
      </c>
      <c r="G67" s="141" t="s">
        <v>362</v>
      </c>
      <c r="H67" s="141" t="s">
        <v>362</v>
      </c>
      <c r="I67" s="141" t="s">
        <v>362</v>
      </c>
      <c r="J67" s="141" t="s">
        <v>362</v>
      </c>
      <c r="K67" s="141" t="s">
        <v>362</v>
      </c>
      <c r="L67" s="141" t="s">
        <v>362</v>
      </c>
      <c r="M67" s="141" t="s">
        <v>362</v>
      </c>
      <c r="N67" s="141" t="s">
        <v>362</v>
      </c>
      <c r="O67" s="613" t="s">
        <v>362</v>
      </c>
      <c r="P67" s="683" t="s">
        <v>362</v>
      </c>
      <c r="Q67" s="697" t="s">
        <v>362</v>
      </c>
      <c r="R67" s="141" t="s">
        <v>362</v>
      </c>
      <c r="S67" s="141" t="s">
        <v>362</v>
      </c>
      <c r="T67" s="141" t="s">
        <v>362</v>
      </c>
      <c r="U67" s="141" t="s">
        <v>362</v>
      </c>
    </row>
    <row r="68" spans="1:21" x14ac:dyDescent="0.2">
      <c r="A68">
        <f t="shared" si="2"/>
        <v>64</v>
      </c>
      <c r="B68" s="40" t="s">
        <v>654</v>
      </c>
      <c r="C68" s="148" t="str">
        <f t="shared" si="3"/>
        <v>Form 1065, Sched K, Ln 13a</v>
      </c>
      <c r="D68" s="46">
        <f t="shared" si="4"/>
        <v>27</v>
      </c>
      <c r="E68" s="151" t="s">
        <v>702</v>
      </c>
      <c r="F68" s="138" t="s">
        <v>1299</v>
      </c>
      <c r="G68" s="138" t="s">
        <v>1299</v>
      </c>
      <c r="H68" s="138" t="s">
        <v>1299</v>
      </c>
      <c r="I68" s="141" t="s">
        <v>1299</v>
      </c>
      <c r="J68" s="138" t="s">
        <v>1299</v>
      </c>
      <c r="K68" s="138" t="s">
        <v>1299</v>
      </c>
      <c r="L68" s="138" t="s">
        <v>1299</v>
      </c>
      <c r="M68" s="138" t="s">
        <v>1299</v>
      </c>
      <c r="N68" s="138" t="s">
        <v>1299</v>
      </c>
      <c r="O68" s="613" t="s">
        <v>1299</v>
      </c>
      <c r="P68" s="683" t="s">
        <v>1299</v>
      </c>
      <c r="Q68" s="697" t="s">
        <v>1299</v>
      </c>
      <c r="R68" s="141" t="s">
        <v>1299</v>
      </c>
      <c r="S68" s="141" t="s">
        <v>1299</v>
      </c>
      <c r="T68" s="141" t="s">
        <v>1299</v>
      </c>
      <c r="U68" s="141" t="s">
        <v>1299</v>
      </c>
    </row>
    <row r="69" spans="1:21" x14ac:dyDescent="0.2">
      <c r="A69">
        <f t="shared" si="2"/>
        <v>65</v>
      </c>
      <c r="B69" s="47" t="s">
        <v>28</v>
      </c>
      <c r="C69" s="148" t="str">
        <f t="shared" si="3"/>
        <v>1065, Sched K, Ln 13d (R)</v>
      </c>
      <c r="D69" s="46">
        <f t="shared" si="4"/>
        <v>28</v>
      </c>
      <c r="E69" s="151" t="s">
        <v>702</v>
      </c>
      <c r="F69" s="138" t="s">
        <v>1300</v>
      </c>
      <c r="G69" s="138" t="s">
        <v>1300</v>
      </c>
      <c r="H69" s="138" t="s">
        <v>704</v>
      </c>
      <c r="I69" s="141" t="s">
        <v>704</v>
      </c>
      <c r="J69" s="138" t="s">
        <v>1300</v>
      </c>
      <c r="K69" s="138" t="s">
        <v>1300</v>
      </c>
      <c r="L69" s="138" t="s">
        <v>1300</v>
      </c>
      <c r="M69" s="138" t="s">
        <v>1300</v>
      </c>
      <c r="N69" s="138" t="s">
        <v>1300</v>
      </c>
      <c r="O69" s="613" t="s">
        <v>1300</v>
      </c>
      <c r="P69" s="683" t="s">
        <v>1300</v>
      </c>
      <c r="Q69" s="697" t="s">
        <v>1300</v>
      </c>
      <c r="R69" s="141" t="s">
        <v>1300</v>
      </c>
      <c r="S69" s="141" t="s">
        <v>1300</v>
      </c>
      <c r="T69" s="141" t="s">
        <v>1300</v>
      </c>
      <c r="U69" s="141" t="s">
        <v>1300</v>
      </c>
    </row>
    <row r="70" spans="1:21" x14ac:dyDescent="0.2">
      <c r="A70">
        <f t="shared" si="2"/>
        <v>66</v>
      </c>
      <c r="B70" s="47" t="s">
        <v>27</v>
      </c>
      <c r="C70" s="148" t="str">
        <f t="shared" si="3"/>
        <v>1065, Sched K, Ln 13d (M)</v>
      </c>
      <c r="D70" s="46">
        <f t="shared" si="4"/>
        <v>29</v>
      </c>
      <c r="E70" s="151" t="s">
        <v>702</v>
      </c>
      <c r="F70" s="138" t="s">
        <v>705</v>
      </c>
      <c r="G70" s="138" t="s">
        <v>1301</v>
      </c>
      <c r="H70" s="138" t="s">
        <v>705</v>
      </c>
      <c r="I70" s="141" t="s">
        <v>705</v>
      </c>
      <c r="J70" s="138" t="s">
        <v>1301</v>
      </c>
      <c r="K70" s="138" t="s">
        <v>1301</v>
      </c>
      <c r="L70" s="138" t="s">
        <v>1301</v>
      </c>
      <c r="M70" s="138" t="s">
        <v>1301</v>
      </c>
      <c r="N70" s="138" t="s">
        <v>1301</v>
      </c>
      <c r="O70" s="613" t="s">
        <v>1301</v>
      </c>
      <c r="P70" s="683" t="s">
        <v>1301</v>
      </c>
      <c r="Q70" s="697" t="s">
        <v>1301</v>
      </c>
      <c r="R70" s="141" t="s">
        <v>1301</v>
      </c>
      <c r="S70" s="141" t="s">
        <v>1301</v>
      </c>
      <c r="T70" s="141" t="s">
        <v>1301</v>
      </c>
      <c r="U70" s="141" t="s">
        <v>1301</v>
      </c>
    </row>
    <row r="71" spans="1:21" x14ac:dyDescent="0.2">
      <c r="A71">
        <f t="shared" si="2"/>
        <v>67</v>
      </c>
      <c r="B71" s="47" t="s">
        <v>757</v>
      </c>
      <c r="C71" s="148" t="str">
        <f t="shared" si="3"/>
        <v>Various</v>
      </c>
      <c r="D71" s="46">
        <f t="shared" si="4"/>
        <v>30</v>
      </c>
      <c r="E71" s="151" t="s">
        <v>702</v>
      </c>
      <c r="F71" s="138" t="s">
        <v>752</v>
      </c>
      <c r="G71" s="138" t="s">
        <v>752</v>
      </c>
      <c r="H71" s="138" t="s">
        <v>752</v>
      </c>
      <c r="I71" s="138" t="s">
        <v>752</v>
      </c>
      <c r="J71" s="138" t="s">
        <v>752</v>
      </c>
      <c r="K71" s="138" t="s">
        <v>752</v>
      </c>
      <c r="L71" s="138" t="s">
        <v>752</v>
      </c>
      <c r="M71" s="138" t="s">
        <v>752</v>
      </c>
      <c r="N71" s="138" t="s">
        <v>752</v>
      </c>
      <c r="O71" s="613" t="s">
        <v>752</v>
      </c>
      <c r="P71" s="683" t="s">
        <v>752</v>
      </c>
      <c r="Q71" s="697" t="s">
        <v>752</v>
      </c>
      <c r="R71" s="141" t="s">
        <v>752</v>
      </c>
      <c r="S71" s="141" t="s">
        <v>752</v>
      </c>
      <c r="T71" s="141" t="s">
        <v>752</v>
      </c>
      <c r="U71" s="141" t="s">
        <v>752</v>
      </c>
    </row>
    <row r="72" spans="1:21" x14ac:dyDescent="0.2">
      <c r="A72">
        <f t="shared" si="2"/>
        <v>68</v>
      </c>
      <c r="B72" s="40" t="s">
        <v>678</v>
      </c>
      <c r="C72" s="148" t="str">
        <f t="shared" si="3"/>
        <v>4797, Part III, Ln 22</v>
      </c>
      <c r="D72" s="46">
        <f t="shared" si="4"/>
        <v>31</v>
      </c>
      <c r="E72" s="151" t="s">
        <v>702</v>
      </c>
      <c r="F72" s="138" t="s">
        <v>12</v>
      </c>
      <c r="G72" s="138" t="s">
        <v>12</v>
      </c>
      <c r="H72" s="138" t="s">
        <v>12</v>
      </c>
      <c r="I72" s="141" t="s">
        <v>12</v>
      </c>
      <c r="J72" s="141" t="s">
        <v>12</v>
      </c>
      <c r="K72" s="141" t="s">
        <v>12</v>
      </c>
      <c r="L72" s="141" t="s">
        <v>12</v>
      </c>
      <c r="M72" s="141" t="s">
        <v>12</v>
      </c>
      <c r="N72" s="141" t="s">
        <v>12</v>
      </c>
      <c r="O72" s="613" t="s">
        <v>12</v>
      </c>
      <c r="P72" s="683" t="s">
        <v>12</v>
      </c>
      <c r="Q72" s="697" t="s">
        <v>12</v>
      </c>
      <c r="R72" s="141" t="s">
        <v>12</v>
      </c>
      <c r="S72" s="141" t="s">
        <v>12</v>
      </c>
      <c r="T72" s="141" t="s">
        <v>12</v>
      </c>
      <c r="U72" s="141" t="s">
        <v>12</v>
      </c>
    </row>
    <row r="73" spans="1:21" x14ac:dyDescent="0.2">
      <c r="A73">
        <f t="shared" si="2"/>
        <v>69</v>
      </c>
      <c r="B73" s="41" t="s">
        <v>679</v>
      </c>
      <c r="C73" s="148" t="str">
        <f t="shared" si="3"/>
        <v>4797, Part III, Ln 24</v>
      </c>
      <c r="D73" s="46">
        <f t="shared" si="4"/>
        <v>32</v>
      </c>
      <c r="E73" s="151" t="s">
        <v>702</v>
      </c>
      <c r="F73" s="138" t="s">
        <v>13</v>
      </c>
      <c r="G73" s="138" t="s">
        <v>13</v>
      </c>
      <c r="H73" s="138" t="s">
        <v>13</v>
      </c>
      <c r="I73" s="141" t="s">
        <v>13</v>
      </c>
      <c r="J73" s="141" t="s">
        <v>13</v>
      </c>
      <c r="K73" s="141" t="s">
        <v>13</v>
      </c>
      <c r="L73" s="141" t="s">
        <v>13</v>
      </c>
      <c r="M73" s="141" t="s">
        <v>13</v>
      </c>
      <c r="N73" s="141" t="s">
        <v>13</v>
      </c>
      <c r="O73" s="613" t="s">
        <v>13</v>
      </c>
      <c r="P73" s="683" t="s">
        <v>13</v>
      </c>
      <c r="Q73" s="697" t="s">
        <v>13</v>
      </c>
      <c r="R73" s="141" t="s">
        <v>13</v>
      </c>
      <c r="S73" s="141" t="s">
        <v>13</v>
      </c>
      <c r="T73" s="141" t="s">
        <v>13</v>
      </c>
      <c r="U73" s="141" t="s">
        <v>13</v>
      </c>
    </row>
    <row r="74" spans="1:21" x14ac:dyDescent="0.2">
      <c r="A74">
        <f t="shared" ref="A74:A137" si="5">+A73+1</f>
        <v>70</v>
      </c>
      <c r="B74" s="41" t="s">
        <v>680</v>
      </c>
      <c r="C74" s="149"/>
      <c r="D74" s="46">
        <f t="shared" si="4"/>
        <v>33</v>
      </c>
      <c r="E74" s="139"/>
      <c r="F74" s="139"/>
      <c r="G74" s="139"/>
      <c r="H74" s="139"/>
      <c r="I74" s="139"/>
      <c r="J74" s="139"/>
      <c r="K74" s="139"/>
      <c r="L74" s="139"/>
      <c r="M74" s="139"/>
      <c r="N74" s="139"/>
      <c r="O74" s="139"/>
      <c r="P74" s="139"/>
      <c r="Q74" s="139"/>
      <c r="R74" s="139"/>
      <c r="S74" s="139"/>
      <c r="T74" s="733"/>
      <c r="U74" s="748"/>
    </row>
    <row r="75" spans="1:21" x14ac:dyDescent="0.2">
      <c r="A75">
        <f t="shared" si="5"/>
        <v>71</v>
      </c>
      <c r="B75" s="41" t="s">
        <v>105</v>
      </c>
      <c r="C75" s="148" t="str">
        <f>HLOOKUP($C$2,$E$5:$T$255,$A75,FALSE)</f>
        <v>4797, Part III, Ln 26g</v>
      </c>
      <c r="D75" s="46">
        <f t="shared" si="4"/>
        <v>34</v>
      </c>
      <c r="E75" s="151" t="s">
        <v>702</v>
      </c>
      <c r="F75" s="138" t="s">
        <v>106</v>
      </c>
      <c r="G75" s="138" t="s">
        <v>106</v>
      </c>
      <c r="H75" s="138" t="s">
        <v>106</v>
      </c>
      <c r="I75" s="141" t="s">
        <v>106</v>
      </c>
      <c r="J75" s="141" t="s">
        <v>106</v>
      </c>
      <c r="K75" s="141" t="s">
        <v>106</v>
      </c>
      <c r="L75" s="141" t="s">
        <v>106</v>
      </c>
      <c r="M75" s="141" t="s">
        <v>106</v>
      </c>
      <c r="N75" s="141" t="s">
        <v>106</v>
      </c>
      <c r="O75" s="613" t="s">
        <v>106</v>
      </c>
      <c r="P75" s="683" t="s">
        <v>106</v>
      </c>
      <c r="Q75" s="697" t="s">
        <v>106</v>
      </c>
      <c r="R75" s="141" t="s">
        <v>106</v>
      </c>
      <c r="S75" s="141" t="s">
        <v>106</v>
      </c>
      <c r="T75" s="141" t="s">
        <v>106</v>
      </c>
      <c r="U75" s="141" t="s">
        <v>106</v>
      </c>
    </row>
    <row r="76" spans="1:21" x14ac:dyDescent="0.2">
      <c r="A76">
        <f t="shared" si="5"/>
        <v>72</v>
      </c>
      <c r="G76" s="124"/>
      <c r="M76" s="152"/>
      <c r="N76" s="152"/>
      <c r="O76" s="152"/>
      <c r="P76" s="152"/>
      <c r="Q76" s="152"/>
      <c r="R76" s="152"/>
      <c r="S76" s="152"/>
      <c r="T76" s="152"/>
      <c r="U76" s="152"/>
    </row>
    <row r="77" spans="1:21" x14ac:dyDescent="0.2">
      <c r="A77">
        <f t="shared" si="5"/>
        <v>73</v>
      </c>
      <c r="B77" s="150" t="s">
        <v>686</v>
      </c>
      <c r="G77" s="124"/>
      <c r="M77" s="152"/>
      <c r="N77" s="152"/>
      <c r="O77" s="152"/>
      <c r="P77" s="152"/>
      <c r="Q77" s="152"/>
      <c r="R77" s="152"/>
      <c r="S77" s="152"/>
      <c r="T77" s="152"/>
      <c r="U77" s="152"/>
    </row>
    <row r="78" spans="1:21" x14ac:dyDescent="0.2">
      <c r="A78">
        <f t="shared" si="5"/>
        <v>74</v>
      </c>
      <c r="B78" s="45" t="s">
        <v>22</v>
      </c>
      <c r="C78" s="148" t="str">
        <f t="shared" ref="C78:C109" si="6">HLOOKUP($C$2,$E$5:$T$255,$A78,FALSE)</f>
        <v>Form 1120, Page 1, Ln 28</v>
      </c>
      <c r="D78" s="46">
        <v>1</v>
      </c>
      <c r="E78" s="151" t="s">
        <v>702</v>
      </c>
      <c r="F78" s="138" t="s">
        <v>691</v>
      </c>
      <c r="G78" s="138" t="s">
        <v>691</v>
      </c>
      <c r="H78" s="138" t="s">
        <v>691</v>
      </c>
      <c r="I78" s="141" t="s">
        <v>691</v>
      </c>
      <c r="J78" s="138" t="s">
        <v>691</v>
      </c>
      <c r="K78" s="138" t="s">
        <v>691</v>
      </c>
      <c r="L78" s="138" t="s">
        <v>691</v>
      </c>
      <c r="M78" s="138" t="s">
        <v>691</v>
      </c>
      <c r="N78" s="138" t="s">
        <v>691</v>
      </c>
      <c r="O78" s="613" t="s">
        <v>691</v>
      </c>
      <c r="P78" s="683" t="s">
        <v>691</v>
      </c>
      <c r="Q78" s="697" t="s">
        <v>691</v>
      </c>
      <c r="R78" s="141" t="s">
        <v>691</v>
      </c>
      <c r="S78" s="141" t="s">
        <v>691</v>
      </c>
      <c r="T78" s="141" t="s">
        <v>691</v>
      </c>
      <c r="U78" s="141" t="s">
        <v>691</v>
      </c>
    </row>
    <row r="79" spans="1:21" x14ac:dyDescent="0.2">
      <c r="A79">
        <f t="shared" si="5"/>
        <v>75</v>
      </c>
      <c r="B79" s="45" t="s">
        <v>1261</v>
      </c>
      <c r="C79" s="148" t="str">
        <f t="shared" si="6"/>
        <v>Form 1120, Pg 1, Ln 1a</v>
      </c>
      <c r="D79" s="46">
        <f t="shared" ref="D79:D111" si="7">+D78+1</f>
        <v>2</v>
      </c>
      <c r="E79" s="151" t="s">
        <v>702</v>
      </c>
      <c r="F79" s="138" t="s">
        <v>1264</v>
      </c>
      <c r="G79" s="138" t="s">
        <v>1264</v>
      </c>
      <c r="H79" s="138" t="s">
        <v>1264</v>
      </c>
      <c r="I79" s="141" t="s">
        <v>1264</v>
      </c>
      <c r="J79" s="138" t="s">
        <v>1264</v>
      </c>
      <c r="K79" s="138" t="s">
        <v>1264</v>
      </c>
      <c r="L79" s="138" t="s">
        <v>1264</v>
      </c>
      <c r="M79" s="138" t="s">
        <v>266</v>
      </c>
      <c r="N79" s="138" t="s">
        <v>1264</v>
      </c>
      <c r="O79" s="613" t="s">
        <v>1264</v>
      </c>
      <c r="P79" s="683" t="s">
        <v>1264</v>
      </c>
      <c r="Q79" s="697" t="s">
        <v>1264</v>
      </c>
      <c r="R79" s="141" t="s">
        <v>1264</v>
      </c>
      <c r="S79" s="141" t="s">
        <v>1264</v>
      </c>
      <c r="T79" s="141" t="s">
        <v>1264</v>
      </c>
      <c r="U79" s="141" t="s">
        <v>1264</v>
      </c>
    </row>
    <row r="80" spans="1:21" x14ac:dyDescent="0.2">
      <c r="A80">
        <f t="shared" si="5"/>
        <v>76</v>
      </c>
      <c r="B80" s="40" t="s">
        <v>9</v>
      </c>
      <c r="C80" s="148" t="str">
        <f t="shared" si="6"/>
        <v>Form 1120, Page 1, Ln 5</v>
      </c>
      <c r="D80" s="46">
        <f t="shared" si="7"/>
        <v>3</v>
      </c>
      <c r="E80" s="151" t="s">
        <v>702</v>
      </c>
      <c r="F80" s="138" t="s">
        <v>692</v>
      </c>
      <c r="G80" s="138" t="s">
        <v>692</v>
      </c>
      <c r="H80" s="138" t="s">
        <v>692</v>
      </c>
      <c r="I80" s="141" t="s">
        <v>692</v>
      </c>
      <c r="J80" s="138" t="s">
        <v>692</v>
      </c>
      <c r="K80" s="138" t="s">
        <v>692</v>
      </c>
      <c r="L80" s="138" t="s">
        <v>692</v>
      </c>
      <c r="M80" s="138" t="s">
        <v>692</v>
      </c>
      <c r="N80" s="138" t="s">
        <v>692</v>
      </c>
      <c r="O80" s="613" t="s">
        <v>692</v>
      </c>
      <c r="P80" s="683" t="s">
        <v>692</v>
      </c>
      <c r="Q80" s="697" t="s">
        <v>692</v>
      </c>
      <c r="R80" s="141" t="s">
        <v>692</v>
      </c>
      <c r="S80" s="141" t="s">
        <v>692</v>
      </c>
      <c r="T80" s="141" t="s">
        <v>692</v>
      </c>
      <c r="U80" s="141" t="s">
        <v>692</v>
      </c>
    </row>
    <row r="81" spans="1:21" x14ac:dyDescent="0.2">
      <c r="A81">
        <f t="shared" si="5"/>
        <v>77</v>
      </c>
      <c r="B81" s="40" t="s">
        <v>10</v>
      </c>
      <c r="C81" s="148" t="str">
        <f t="shared" si="6"/>
        <v>Form 1120, Page 1, Ln 4</v>
      </c>
      <c r="D81" s="46">
        <f t="shared" si="7"/>
        <v>4</v>
      </c>
      <c r="E81" s="151" t="s">
        <v>702</v>
      </c>
      <c r="F81" s="138" t="s">
        <v>693</v>
      </c>
      <c r="G81" s="138" t="s">
        <v>693</v>
      </c>
      <c r="H81" s="138" t="s">
        <v>693</v>
      </c>
      <c r="I81" s="141" t="s">
        <v>693</v>
      </c>
      <c r="J81" s="138" t="s">
        <v>693</v>
      </c>
      <c r="K81" s="138" t="s">
        <v>693</v>
      </c>
      <c r="L81" s="138" t="s">
        <v>693</v>
      </c>
      <c r="M81" s="138" t="s">
        <v>693</v>
      </c>
      <c r="N81" s="138" t="s">
        <v>693</v>
      </c>
      <c r="O81" s="613" t="s">
        <v>693</v>
      </c>
      <c r="P81" s="683" t="s">
        <v>693</v>
      </c>
      <c r="Q81" s="697" t="s">
        <v>693</v>
      </c>
      <c r="R81" s="141" t="s">
        <v>693</v>
      </c>
      <c r="S81" s="141" t="s">
        <v>693</v>
      </c>
      <c r="T81" s="141" t="s">
        <v>693</v>
      </c>
      <c r="U81" s="141" t="s">
        <v>693</v>
      </c>
    </row>
    <row r="82" spans="1:21" x14ac:dyDescent="0.2">
      <c r="A82">
        <f t="shared" si="5"/>
        <v>78</v>
      </c>
      <c r="B82" s="40" t="s">
        <v>11</v>
      </c>
      <c r="C82" s="148" t="str">
        <f t="shared" si="6"/>
        <v>Form 1120, Page 1, Ln 7</v>
      </c>
      <c r="D82" s="46">
        <f t="shared" si="7"/>
        <v>5</v>
      </c>
      <c r="E82" s="151" t="s">
        <v>702</v>
      </c>
      <c r="F82" s="138" t="s">
        <v>694</v>
      </c>
      <c r="G82" s="138" t="s">
        <v>694</v>
      </c>
      <c r="H82" s="138" t="s">
        <v>694</v>
      </c>
      <c r="I82" s="141" t="s">
        <v>694</v>
      </c>
      <c r="J82" s="138" t="s">
        <v>694</v>
      </c>
      <c r="K82" s="138" t="s">
        <v>694</v>
      </c>
      <c r="L82" s="138" t="s">
        <v>694</v>
      </c>
      <c r="M82" s="138" t="s">
        <v>694</v>
      </c>
      <c r="N82" s="138" t="s">
        <v>694</v>
      </c>
      <c r="O82" s="613" t="s">
        <v>694</v>
      </c>
      <c r="P82" s="683" t="s">
        <v>694</v>
      </c>
      <c r="Q82" s="697" t="s">
        <v>694</v>
      </c>
      <c r="R82" s="141" t="s">
        <v>694</v>
      </c>
      <c r="S82" s="141" t="s">
        <v>694</v>
      </c>
      <c r="T82" s="141" t="s">
        <v>694</v>
      </c>
      <c r="U82" s="141" t="s">
        <v>694</v>
      </c>
    </row>
    <row r="83" spans="1:21" x14ac:dyDescent="0.2">
      <c r="A83">
        <f t="shared" si="5"/>
        <v>79</v>
      </c>
      <c r="B83" s="40" t="s">
        <v>112</v>
      </c>
      <c r="C83" s="148" t="str">
        <f t="shared" si="6"/>
        <v>Part of 1120, Pg 1, Ln 10</v>
      </c>
      <c r="D83" s="46">
        <f t="shared" si="7"/>
        <v>6</v>
      </c>
      <c r="E83" s="151" t="s">
        <v>702</v>
      </c>
      <c r="F83" s="142" t="s">
        <v>114</v>
      </c>
      <c r="G83" s="142" t="s">
        <v>114</v>
      </c>
      <c r="H83" s="142" t="s">
        <v>114</v>
      </c>
      <c r="I83" s="349" t="s">
        <v>114</v>
      </c>
      <c r="J83" s="142" t="s">
        <v>114</v>
      </c>
      <c r="K83" s="142" t="s">
        <v>114</v>
      </c>
      <c r="L83" s="142" t="s">
        <v>114</v>
      </c>
      <c r="M83" s="142" t="s">
        <v>114</v>
      </c>
      <c r="N83" s="142" t="s">
        <v>114</v>
      </c>
      <c r="O83" s="614" t="s">
        <v>114</v>
      </c>
      <c r="P83" s="682" t="s">
        <v>114</v>
      </c>
      <c r="Q83" s="696" t="s">
        <v>114</v>
      </c>
      <c r="R83" s="349" t="s">
        <v>114</v>
      </c>
      <c r="S83" s="349" t="s">
        <v>114</v>
      </c>
      <c r="T83" s="349" t="s">
        <v>114</v>
      </c>
      <c r="U83" s="349" t="s">
        <v>114</v>
      </c>
    </row>
    <row r="84" spans="1:21" x14ac:dyDescent="0.2">
      <c r="A84">
        <f t="shared" si="5"/>
        <v>80</v>
      </c>
      <c r="B84" s="40" t="s">
        <v>1201</v>
      </c>
      <c r="C84" s="148" t="str">
        <f t="shared" si="6"/>
        <v>Form 1120, Page 1, Ln 12</v>
      </c>
      <c r="D84" s="46">
        <f t="shared" si="7"/>
        <v>7</v>
      </c>
      <c r="E84" s="151" t="s">
        <v>702</v>
      </c>
      <c r="F84" s="138" t="s">
        <v>1207</v>
      </c>
      <c r="G84" s="138" t="s">
        <v>1207</v>
      </c>
      <c r="H84" s="138" t="s">
        <v>1207</v>
      </c>
      <c r="I84" s="141" t="s">
        <v>1207</v>
      </c>
      <c r="J84" s="138" t="s">
        <v>1207</v>
      </c>
      <c r="K84" s="138" t="s">
        <v>1207</v>
      </c>
      <c r="L84" s="138" t="s">
        <v>1207</v>
      </c>
      <c r="M84" s="138" t="s">
        <v>1207</v>
      </c>
      <c r="N84" s="138" t="s">
        <v>1207</v>
      </c>
      <c r="O84" s="613" t="s">
        <v>1207</v>
      </c>
      <c r="P84" s="683" t="s">
        <v>1207</v>
      </c>
      <c r="Q84" s="697" t="s">
        <v>1207</v>
      </c>
      <c r="R84" s="141" t="s">
        <v>1207</v>
      </c>
      <c r="S84" s="141" t="s">
        <v>1207</v>
      </c>
      <c r="T84" s="141" t="s">
        <v>1207</v>
      </c>
      <c r="U84" s="141" t="s">
        <v>1207</v>
      </c>
    </row>
    <row r="85" spans="1:21" x14ac:dyDescent="0.2">
      <c r="A85">
        <f t="shared" si="5"/>
        <v>81</v>
      </c>
      <c r="B85" s="40" t="s">
        <v>1202</v>
      </c>
      <c r="C85" s="148" t="str">
        <f t="shared" si="6"/>
        <v>Form 1120, Page 1, Ln 13</v>
      </c>
      <c r="D85" s="46">
        <f t="shared" si="7"/>
        <v>8</v>
      </c>
      <c r="E85" s="151" t="s">
        <v>702</v>
      </c>
      <c r="F85" s="138" t="s">
        <v>1208</v>
      </c>
      <c r="G85" s="138" t="s">
        <v>1208</v>
      </c>
      <c r="H85" s="138" t="s">
        <v>1208</v>
      </c>
      <c r="I85" s="141" t="s">
        <v>1208</v>
      </c>
      <c r="J85" s="138" t="s">
        <v>1208</v>
      </c>
      <c r="K85" s="138" t="s">
        <v>1208</v>
      </c>
      <c r="L85" s="138" t="s">
        <v>1208</v>
      </c>
      <c r="M85" s="138" t="s">
        <v>1208</v>
      </c>
      <c r="N85" s="138" t="s">
        <v>1208</v>
      </c>
      <c r="O85" s="613" t="s">
        <v>1208</v>
      </c>
      <c r="P85" s="683" t="s">
        <v>1208</v>
      </c>
      <c r="Q85" s="697" t="s">
        <v>1208</v>
      </c>
      <c r="R85" s="141" t="s">
        <v>1208</v>
      </c>
      <c r="S85" s="141" t="s">
        <v>1208</v>
      </c>
      <c r="T85" s="141" t="s">
        <v>1208</v>
      </c>
      <c r="U85" s="141" t="s">
        <v>1208</v>
      </c>
    </row>
    <row r="86" spans="1:21" x14ac:dyDescent="0.2">
      <c r="A86">
        <f t="shared" si="5"/>
        <v>82</v>
      </c>
      <c r="B86" s="40" t="s">
        <v>1203</v>
      </c>
      <c r="C86" s="148" t="str">
        <f t="shared" si="6"/>
        <v>1125-A, Pg 1, Ln 3</v>
      </c>
      <c r="D86" s="46">
        <f t="shared" si="7"/>
        <v>9</v>
      </c>
      <c r="E86" s="151" t="s">
        <v>702</v>
      </c>
      <c r="F86" s="138" t="s">
        <v>1291</v>
      </c>
      <c r="G86" s="138" t="s">
        <v>1291</v>
      </c>
      <c r="H86" s="138" t="s">
        <v>1291</v>
      </c>
      <c r="I86" s="141" t="s">
        <v>1291</v>
      </c>
      <c r="J86" s="138" t="s">
        <v>1291</v>
      </c>
      <c r="K86" s="138" t="s">
        <v>1291</v>
      </c>
      <c r="L86" s="138" t="s">
        <v>1291</v>
      </c>
      <c r="M86" s="141" t="s">
        <v>267</v>
      </c>
      <c r="N86" s="141" t="s">
        <v>267</v>
      </c>
      <c r="O86" s="613" t="s">
        <v>267</v>
      </c>
      <c r="P86" s="683" t="s">
        <v>267</v>
      </c>
      <c r="Q86" s="697" t="s">
        <v>267</v>
      </c>
      <c r="R86" s="141" t="s">
        <v>267</v>
      </c>
      <c r="S86" s="141" t="s">
        <v>267</v>
      </c>
      <c r="T86" s="141" t="s">
        <v>267</v>
      </c>
      <c r="U86" s="141" t="s">
        <v>267</v>
      </c>
    </row>
    <row r="87" spans="1:21" x14ac:dyDescent="0.2">
      <c r="A87">
        <f t="shared" si="5"/>
        <v>83</v>
      </c>
      <c r="B87" s="40" t="s">
        <v>1204</v>
      </c>
      <c r="C87" s="148" t="str">
        <f t="shared" si="6"/>
        <v>Various</v>
      </c>
      <c r="D87" s="46">
        <f t="shared" si="7"/>
        <v>10</v>
      </c>
      <c r="E87" s="151" t="s">
        <v>702</v>
      </c>
      <c r="F87" s="138" t="s">
        <v>752</v>
      </c>
      <c r="G87" s="138" t="s">
        <v>752</v>
      </c>
      <c r="H87" s="138" t="s">
        <v>752</v>
      </c>
      <c r="I87" s="138" t="s">
        <v>752</v>
      </c>
      <c r="J87" s="138" t="s">
        <v>752</v>
      </c>
      <c r="K87" s="351" t="s">
        <v>752</v>
      </c>
      <c r="L87" s="351" t="s">
        <v>752</v>
      </c>
      <c r="M87" s="352" t="s">
        <v>752</v>
      </c>
      <c r="N87" s="352" t="s">
        <v>752</v>
      </c>
      <c r="O87" s="616" t="s">
        <v>752</v>
      </c>
      <c r="P87" s="685" t="s">
        <v>752</v>
      </c>
      <c r="Q87" s="352" t="s">
        <v>752</v>
      </c>
      <c r="R87" s="352" t="s">
        <v>752</v>
      </c>
      <c r="S87" s="352" t="s">
        <v>752</v>
      </c>
      <c r="T87" s="352" t="s">
        <v>752</v>
      </c>
      <c r="U87" s="352" t="s">
        <v>752</v>
      </c>
    </row>
    <row r="88" spans="1:21" x14ac:dyDescent="0.2">
      <c r="A88">
        <f t="shared" si="5"/>
        <v>84</v>
      </c>
      <c r="B88" s="40" t="s">
        <v>1322</v>
      </c>
      <c r="C88" s="148" t="str">
        <f t="shared" si="6"/>
        <v>Part of 1120, Pg 1, Ln 16</v>
      </c>
      <c r="D88" s="46">
        <f t="shared" si="7"/>
        <v>11</v>
      </c>
      <c r="E88" s="151" t="s">
        <v>702</v>
      </c>
      <c r="F88" s="142" t="s">
        <v>1327</v>
      </c>
      <c r="G88" s="142" t="s">
        <v>1327</v>
      </c>
      <c r="H88" s="142" t="s">
        <v>1327</v>
      </c>
      <c r="I88" s="142" t="s">
        <v>1327</v>
      </c>
      <c r="J88" s="142" t="s">
        <v>1327</v>
      </c>
      <c r="K88" s="142" t="s">
        <v>1327</v>
      </c>
      <c r="L88" s="142" t="s">
        <v>1327</v>
      </c>
      <c r="M88" s="349" t="s">
        <v>1327</v>
      </c>
      <c r="N88" s="349" t="s">
        <v>1327</v>
      </c>
      <c r="O88" s="614" t="s">
        <v>1327</v>
      </c>
      <c r="P88" s="682" t="s">
        <v>1327</v>
      </c>
      <c r="Q88" s="696" t="s">
        <v>1327</v>
      </c>
      <c r="R88" s="349" t="s">
        <v>1327</v>
      </c>
      <c r="S88" s="349" t="s">
        <v>1327</v>
      </c>
      <c r="T88" s="349" t="s">
        <v>1327</v>
      </c>
      <c r="U88" s="349" t="s">
        <v>1327</v>
      </c>
    </row>
    <row r="89" spans="1:21" x14ac:dyDescent="0.2">
      <c r="A89">
        <f t="shared" si="5"/>
        <v>85</v>
      </c>
      <c r="B89" s="40" t="s">
        <v>1325</v>
      </c>
      <c r="C89" s="148" t="str">
        <f t="shared" si="6"/>
        <v>Part of Form 1125-A, Ln 5</v>
      </c>
      <c r="D89" s="46">
        <f t="shared" si="7"/>
        <v>12</v>
      </c>
      <c r="E89" s="151" t="s">
        <v>702</v>
      </c>
      <c r="F89" s="148" t="s">
        <v>721</v>
      </c>
      <c r="G89" s="148" t="s">
        <v>721</v>
      </c>
      <c r="H89" s="148" t="s">
        <v>721</v>
      </c>
      <c r="I89" s="148" t="s">
        <v>721</v>
      </c>
      <c r="J89" s="142" t="s">
        <v>721</v>
      </c>
      <c r="K89" s="142" t="s">
        <v>721</v>
      </c>
      <c r="L89" s="142" t="s">
        <v>721</v>
      </c>
      <c r="M89" s="349" t="s">
        <v>269</v>
      </c>
      <c r="N89" s="349" t="s">
        <v>269</v>
      </c>
      <c r="O89" s="614" t="s">
        <v>269</v>
      </c>
      <c r="P89" s="682" t="s">
        <v>269</v>
      </c>
      <c r="Q89" s="696" t="s">
        <v>269</v>
      </c>
      <c r="R89" s="349" t="s">
        <v>269</v>
      </c>
      <c r="S89" s="349" t="s">
        <v>269</v>
      </c>
      <c r="T89" s="349" t="s">
        <v>269</v>
      </c>
      <c r="U89" s="349" t="s">
        <v>269</v>
      </c>
    </row>
    <row r="90" spans="1:21" ht="24.95" customHeight="1" x14ac:dyDescent="0.2">
      <c r="A90">
        <f t="shared" si="5"/>
        <v>86</v>
      </c>
      <c r="B90" s="45" t="s">
        <v>1266</v>
      </c>
      <c r="C90" s="148" t="str">
        <f t="shared" si="6"/>
        <v>Part of 1120, Pg 1, Ln 17</v>
      </c>
      <c r="D90" s="46">
        <f t="shared" si="7"/>
        <v>13</v>
      </c>
      <c r="E90" s="151" t="s">
        <v>702</v>
      </c>
      <c r="F90" s="148" t="s">
        <v>722</v>
      </c>
      <c r="G90" s="148" t="s">
        <v>722</v>
      </c>
      <c r="H90" s="148" t="s">
        <v>722</v>
      </c>
      <c r="I90" s="348" t="s">
        <v>722</v>
      </c>
      <c r="J90" s="142" t="s">
        <v>722</v>
      </c>
      <c r="K90" s="142" t="s">
        <v>722</v>
      </c>
      <c r="L90" s="142" t="s">
        <v>722</v>
      </c>
      <c r="M90" s="142" t="s">
        <v>722</v>
      </c>
      <c r="N90" s="142" t="s">
        <v>722</v>
      </c>
      <c r="O90" s="614" t="s">
        <v>722</v>
      </c>
      <c r="P90" s="682" t="s">
        <v>722</v>
      </c>
      <c r="Q90" s="696" t="s">
        <v>722</v>
      </c>
      <c r="R90" s="142" t="s">
        <v>722</v>
      </c>
      <c r="S90" s="142" t="s">
        <v>722</v>
      </c>
      <c r="T90" s="142" t="s">
        <v>722</v>
      </c>
      <c r="U90" s="142" t="s">
        <v>722</v>
      </c>
    </row>
    <row r="91" spans="1:21" x14ac:dyDescent="0.2">
      <c r="A91">
        <f t="shared" si="5"/>
        <v>87</v>
      </c>
      <c r="B91" s="45" t="s">
        <v>110</v>
      </c>
      <c r="C91" s="148" t="str">
        <f t="shared" si="6"/>
        <v>1120, Sched L, Ln 3(b)</v>
      </c>
      <c r="D91" s="46">
        <f t="shared" si="7"/>
        <v>14</v>
      </c>
      <c r="E91" s="151" t="s">
        <v>702</v>
      </c>
      <c r="F91" s="148" t="s">
        <v>735</v>
      </c>
      <c r="G91" s="148" t="s">
        <v>735</v>
      </c>
      <c r="H91" s="148" t="s">
        <v>735</v>
      </c>
      <c r="I91" s="348" t="s">
        <v>735</v>
      </c>
      <c r="J91" s="142" t="s">
        <v>735</v>
      </c>
      <c r="K91" s="142" t="s">
        <v>735</v>
      </c>
      <c r="L91" s="142" t="s">
        <v>735</v>
      </c>
      <c r="M91" s="142" t="s">
        <v>735</v>
      </c>
      <c r="N91" s="142" t="s">
        <v>735</v>
      </c>
      <c r="O91" s="614" t="s">
        <v>735</v>
      </c>
      <c r="P91" s="682" t="s">
        <v>735</v>
      </c>
      <c r="Q91" s="696" t="s">
        <v>735</v>
      </c>
      <c r="R91" s="142" t="s">
        <v>735</v>
      </c>
      <c r="S91" s="142" t="s">
        <v>735</v>
      </c>
      <c r="T91" s="142" t="s">
        <v>735</v>
      </c>
      <c r="U91" s="142" t="s">
        <v>735</v>
      </c>
    </row>
    <row r="92" spans="1:21" x14ac:dyDescent="0.2">
      <c r="A92">
        <f t="shared" si="5"/>
        <v>88</v>
      </c>
      <c r="B92" s="45" t="s">
        <v>111</v>
      </c>
      <c r="C92" s="148" t="str">
        <f t="shared" si="6"/>
        <v>1120, Sched L, Ln 3(d)</v>
      </c>
      <c r="D92" s="46">
        <f t="shared" si="7"/>
        <v>15</v>
      </c>
      <c r="E92" s="151" t="s">
        <v>702</v>
      </c>
      <c r="F92" s="148" t="s">
        <v>169</v>
      </c>
      <c r="G92" s="148" t="s">
        <v>169</v>
      </c>
      <c r="H92" s="148" t="s">
        <v>169</v>
      </c>
      <c r="I92" s="348" t="s">
        <v>169</v>
      </c>
      <c r="J92" s="142" t="s">
        <v>169</v>
      </c>
      <c r="K92" s="142" t="s">
        <v>169</v>
      </c>
      <c r="L92" s="142" t="s">
        <v>169</v>
      </c>
      <c r="M92" s="142" t="s">
        <v>169</v>
      </c>
      <c r="N92" s="142" t="s">
        <v>169</v>
      </c>
      <c r="O92" s="614" t="s">
        <v>169</v>
      </c>
      <c r="P92" s="682" t="s">
        <v>169</v>
      </c>
      <c r="Q92" s="696" t="s">
        <v>169</v>
      </c>
      <c r="R92" s="142" t="s">
        <v>169</v>
      </c>
      <c r="S92" s="142" t="s">
        <v>169</v>
      </c>
      <c r="T92" s="142" t="s">
        <v>169</v>
      </c>
      <c r="U92" s="142" t="s">
        <v>169</v>
      </c>
    </row>
    <row r="93" spans="1:21" x14ac:dyDescent="0.2">
      <c r="A93">
        <f t="shared" si="5"/>
        <v>89</v>
      </c>
      <c r="B93" s="85" t="s">
        <v>1302</v>
      </c>
      <c r="C93" s="148" t="str">
        <f t="shared" si="6"/>
        <v>1120, Sched L, Ln 10a(a)</v>
      </c>
      <c r="D93" s="46">
        <f t="shared" si="7"/>
        <v>16</v>
      </c>
      <c r="E93" s="151" t="s">
        <v>702</v>
      </c>
      <c r="F93" s="148" t="s">
        <v>729</v>
      </c>
      <c r="G93" s="148" t="s">
        <v>729</v>
      </c>
      <c r="H93" s="148" t="s">
        <v>729</v>
      </c>
      <c r="I93" s="348" t="s">
        <v>729</v>
      </c>
      <c r="J93" s="142" t="s">
        <v>729</v>
      </c>
      <c r="K93" s="142" t="s">
        <v>729</v>
      </c>
      <c r="L93" s="142" t="s">
        <v>729</v>
      </c>
      <c r="M93" s="142" t="s">
        <v>729</v>
      </c>
      <c r="N93" s="142" t="s">
        <v>729</v>
      </c>
      <c r="O93" s="614" t="s">
        <v>729</v>
      </c>
      <c r="P93" s="682" t="s">
        <v>729</v>
      </c>
      <c r="Q93" s="696" t="s">
        <v>729</v>
      </c>
      <c r="R93" s="142" t="s">
        <v>729</v>
      </c>
      <c r="S93" s="142" t="s">
        <v>729</v>
      </c>
      <c r="T93" s="142" t="s">
        <v>729</v>
      </c>
      <c r="U93" s="142" t="s">
        <v>729</v>
      </c>
    </row>
    <row r="94" spans="1:21" x14ac:dyDescent="0.2">
      <c r="A94">
        <f t="shared" si="5"/>
        <v>90</v>
      </c>
      <c r="B94" s="85" t="s">
        <v>1321</v>
      </c>
      <c r="C94" s="148" t="str">
        <f t="shared" si="6"/>
        <v>1120, Sched L, Ln 10a(c)</v>
      </c>
      <c r="D94" s="46">
        <f t="shared" si="7"/>
        <v>17</v>
      </c>
      <c r="E94" s="151" t="s">
        <v>702</v>
      </c>
      <c r="F94" s="148" t="s">
        <v>730</v>
      </c>
      <c r="G94" s="148" t="s">
        <v>730</v>
      </c>
      <c r="H94" s="148" t="s">
        <v>730</v>
      </c>
      <c r="I94" s="348" t="s">
        <v>730</v>
      </c>
      <c r="J94" s="142" t="s">
        <v>730</v>
      </c>
      <c r="K94" s="142" t="s">
        <v>730</v>
      </c>
      <c r="L94" s="142" t="s">
        <v>730</v>
      </c>
      <c r="M94" s="142" t="s">
        <v>730</v>
      </c>
      <c r="N94" s="142" t="s">
        <v>730</v>
      </c>
      <c r="O94" s="614" t="s">
        <v>730</v>
      </c>
      <c r="P94" s="682" t="s">
        <v>730</v>
      </c>
      <c r="Q94" s="696" t="s">
        <v>730</v>
      </c>
      <c r="R94" s="142" t="s">
        <v>730</v>
      </c>
      <c r="S94" s="142" t="s">
        <v>730</v>
      </c>
      <c r="T94" s="142" t="s">
        <v>730</v>
      </c>
      <c r="U94" s="142" t="s">
        <v>730</v>
      </c>
    </row>
    <row r="95" spans="1:21" x14ac:dyDescent="0.2">
      <c r="A95">
        <f t="shared" si="5"/>
        <v>91</v>
      </c>
      <c r="B95" s="85" t="s">
        <v>1303</v>
      </c>
      <c r="C95" s="148" t="str">
        <f t="shared" si="6"/>
        <v>1120, Sched L, Ln 11a(a)</v>
      </c>
      <c r="D95" s="46">
        <f t="shared" si="7"/>
        <v>18</v>
      </c>
      <c r="E95" s="151" t="s">
        <v>702</v>
      </c>
      <c r="F95" s="148" t="s">
        <v>731</v>
      </c>
      <c r="G95" s="148" t="s">
        <v>731</v>
      </c>
      <c r="H95" s="148" t="s">
        <v>731</v>
      </c>
      <c r="I95" s="348" t="s">
        <v>731</v>
      </c>
      <c r="J95" s="142" t="s">
        <v>731</v>
      </c>
      <c r="K95" s="142" t="s">
        <v>731</v>
      </c>
      <c r="L95" s="142" t="s">
        <v>731</v>
      </c>
      <c r="M95" s="142" t="s">
        <v>731</v>
      </c>
      <c r="N95" s="142" t="s">
        <v>731</v>
      </c>
      <c r="O95" s="614" t="s">
        <v>731</v>
      </c>
      <c r="P95" s="682" t="s">
        <v>731</v>
      </c>
      <c r="Q95" s="696" t="s">
        <v>731</v>
      </c>
      <c r="R95" s="142" t="s">
        <v>731</v>
      </c>
      <c r="S95" s="142" t="s">
        <v>731</v>
      </c>
      <c r="T95" s="142" t="s">
        <v>731</v>
      </c>
      <c r="U95" s="142" t="s">
        <v>731</v>
      </c>
    </row>
    <row r="96" spans="1:21" x14ac:dyDescent="0.2">
      <c r="A96">
        <f t="shared" si="5"/>
        <v>92</v>
      </c>
      <c r="B96" s="85" t="s">
        <v>1306</v>
      </c>
      <c r="C96" s="148" t="str">
        <f t="shared" si="6"/>
        <v>1120, Sched L, Ln 11a(c)</v>
      </c>
      <c r="D96" s="46">
        <f t="shared" si="7"/>
        <v>19</v>
      </c>
      <c r="E96" s="151" t="s">
        <v>702</v>
      </c>
      <c r="F96" s="148" t="s">
        <v>732</v>
      </c>
      <c r="G96" s="148" t="s">
        <v>732</v>
      </c>
      <c r="H96" s="148" t="s">
        <v>732</v>
      </c>
      <c r="I96" s="348" t="s">
        <v>732</v>
      </c>
      <c r="J96" s="142" t="s">
        <v>732</v>
      </c>
      <c r="K96" s="142" t="s">
        <v>732</v>
      </c>
      <c r="L96" s="142" t="s">
        <v>732</v>
      </c>
      <c r="M96" s="142" t="s">
        <v>732</v>
      </c>
      <c r="N96" s="142" t="s">
        <v>732</v>
      </c>
      <c r="O96" s="614" t="s">
        <v>732</v>
      </c>
      <c r="P96" s="682" t="s">
        <v>732</v>
      </c>
      <c r="Q96" s="696" t="s">
        <v>732</v>
      </c>
      <c r="R96" s="142" t="s">
        <v>732</v>
      </c>
      <c r="S96" s="142" t="s">
        <v>732</v>
      </c>
      <c r="T96" s="142" t="s">
        <v>732</v>
      </c>
      <c r="U96" s="142" t="s">
        <v>732</v>
      </c>
    </row>
    <row r="97" spans="1:21" x14ac:dyDescent="0.2">
      <c r="A97">
        <f t="shared" si="5"/>
        <v>93</v>
      </c>
      <c r="B97" s="85" t="s">
        <v>1304</v>
      </c>
      <c r="C97" s="148" t="str">
        <f t="shared" si="6"/>
        <v>1120, Sched L, Ln 12(b)</v>
      </c>
      <c r="D97" s="46">
        <f t="shared" si="7"/>
        <v>20</v>
      </c>
      <c r="E97" s="151" t="s">
        <v>702</v>
      </c>
      <c r="F97" s="148" t="s">
        <v>733</v>
      </c>
      <c r="G97" s="148" t="s">
        <v>733</v>
      </c>
      <c r="H97" s="148" t="s">
        <v>733</v>
      </c>
      <c r="I97" s="348" t="s">
        <v>733</v>
      </c>
      <c r="J97" s="142" t="s">
        <v>733</v>
      </c>
      <c r="K97" s="142" t="s">
        <v>733</v>
      </c>
      <c r="L97" s="142" t="s">
        <v>733</v>
      </c>
      <c r="M97" s="142" t="s">
        <v>733</v>
      </c>
      <c r="N97" s="142" t="s">
        <v>733</v>
      </c>
      <c r="O97" s="614" t="s">
        <v>733</v>
      </c>
      <c r="P97" s="682" t="s">
        <v>733</v>
      </c>
      <c r="Q97" s="696" t="s">
        <v>733</v>
      </c>
      <c r="R97" s="142" t="s">
        <v>733</v>
      </c>
      <c r="S97" s="142" t="s">
        <v>733</v>
      </c>
      <c r="T97" s="142" t="s">
        <v>733</v>
      </c>
      <c r="U97" s="142" t="s">
        <v>733</v>
      </c>
    </row>
    <row r="98" spans="1:21" x14ac:dyDescent="0.2">
      <c r="A98">
        <f t="shared" si="5"/>
        <v>94</v>
      </c>
      <c r="B98" s="85" t="s">
        <v>1305</v>
      </c>
      <c r="C98" s="148" t="str">
        <f t="shared" si="6"/>
        <v>1120, Sched L, Ln 12(d)</v>
      </c>
      <c r="D98" s="46">
        <f t="shared" si="7"/>
        <v>21</v>
      </c>
      <c r="E98" s="151" t="s">
        <v>702</v>
      </c>
      <c r="F98" s="148" t="s">
        <v>734</v>
      </c>
      <c r="G98" s="148" t="s">
        <v>734</v>
      </c>
      <c r="H98" s="148" t="s">
        <v>734</v>
      </c>
      <c r="I98" s="348" t="s">
        <v>734</v>
      </c>
      <c r="J98" s="142" t="s">
        <v>734</v>
      </c>
      <c r="K98" s="142" t="s">
        <v>734</v>
      </c>
      <c r="L98" s="142" t="s">
        <v>734</v>
      </c>
      <c r="M98" s="142" t="s">
        <v>734</v>
      </c>
      <c r="N98" s="142" t="s">
        <v>734</v>
      </c>
      <c r="O98" s="614" t="s">
        <v>734</v>
      </c>
      <c r="P98" s="682" t="s">
        <v>734</v>
      </c>
      <c r="Q98" s="696" t="s">
        <v>734</v>
      </c>
      <c r="R98" s="142" t="s">
        <v>734</v>
      </c>
      <c r="S98" s="142" t="s">
        <v>734</v>
      </c>
      <c r="T98" s="142" t="s">
        <v>734</v>
      </c>
      <c r="U98" s="142" t="s">
        <v>734</v>
      </c>
    </row>
    <row r="99" spans="1:21" x14ac:dyDescent="0.2">
      <c r="A99">
        <f t="shared" si="5"/>
        <v>95</v>
      </c>
      <c r="B99" s="40" t="s">
        <v>23</v>
      </c>
      <c r="C99" s="148" t="str">
        <f t="shared" si="6"/>
        <v>Sched D, Part I, Ln 7</v>
      </c>
      <c r="D99" s="46">
        <f t="shared" si="7"/>
        <v>22</v>
      </c>
      <c r="E99" s="151" t="s">
        <v>702</v>
      </c>
      <c r="F99" s="141" t="s">
        <v>357</v>
      </c>
      <c r="G99" s="141" t="s">
        <v>357</v>
      </c>
      <c r="H99" s="141" t="s">
        <v>357</v>
      </c>
      <c r="I99" s="141" t="s">
        <v>357</v>
      </c>
      <c r="J99" s="141" t="s">
        <v>357</v>
      </c>
      <c r="K99" s="141" t="s">
        <v>357</v>
      </c>
      <c r="L99" s="141" t="s">
        <v>357</v>
      </c>
      <c r="M99" s="141" t="s">
        <v>357</v>
      </c>
      <c r="N99" s="141" t="s">
        <v>922</v>
      </c>
      <c r="O99" s="613" t="s">
        <v>922</v>
      </c>
      <c r="P99" s="683" t="s">
        <v>922</v>
      </c>
      <c r="Q99" s="697" t="s">
        <v>922</v>
      </c>
      <c r="R99" s="141" t="s">
        <v>922</v>
      </c>
      <c r="S99" s="141" t="s">
        <v>922</v>
      </c>
      <c r="T99" s="141" t="s">
        <v>922</v>
      </c>
      <c r="U99" s="141" t="s">
        <v>922</v>
      </c>
    </row>
    <row r="100" spans="1:21" x14ac:dyDescent="0.2">
      <c r="A100">
        <f t="shared" si="5"/>
        <v>96</v>
      </c>
      <c r="B100" s="40" t="s">
        <v>24</v>
      </c>
      <c r="C100" s="148" t="str">
        <f t="shared" si="6"/>
        <v>Sched D, Part II, Ln 15 less Ln 11</v>
      </c>
      <c r="D100" s="46">
        <f t="shared" si="7"/>
        <v>23</v>
      </c>
      <c r="E100" s="151" t="s">
        <v>702</v>
      </c>
      <c r="F100" s="138" t="s">
        <v>755</v>
      </c>
      <c r="G100" s="138" t="s">
        <v>755</v>
      </c>
      <c r="H100" s="138" t="s">
        <v>755</v>
      </c>
      <c r="I100" s="141" t="s">
        <v>755</v>
      </c>
      <c r="J100" s="138" t="s">
        <v>755</v>
      </c>
      <c r="K100" s="138" t="s">
        <v>755</v>
      </c>
      <c r="L100" s="138" t="s">
        <v>1171</v>
      </c>
      <c r="M100" s="138" t="s">
        <v>1171</v>
      </c>
      <c r="N100" s="138" t="s">
        <v>1465</v>
      </c>
      <c r="O100" s="138" t="s">
        <v>1465</v>
      </c>
      <c r="P100" s="683" t="s">
        <v>1465</v>
      </c>
      <c r="Q100" s="697" t="s">
        <v>1465</v>
      </c>
      <c r="R100" s="141" t="s">
        <v>1465</v>
      </c>
      <c r="S100" s="141" t="s">
        <v>1465</v>
      </c>
      <c r="T100" s="141" t="s">
        <v>1465</v>
      </c>
      <c r="U100" s="141" t="s">
        <v>1465</v>
      </c>
    </row>
    <row r="101" spans="1:21" x14ac:dyDescent="0.2">
      <c r="A101">
        <f t="shared" si="5"/>
        <v>97</v>
      </c>
      <c r="B101" s="40" t="s">
        <v>25</v>
      </c>
      <c r="C101" s="148" t="str">
        <f t="shared" si="6"/>
        <v>4797, Part I, Ln 7</v>
      </c>
      <c r="D101" s="46">
        <f t="shared" si="7"/>
        <v>24</v>
      </c>
      <c r="E101" s="151" t="s">
        <v>702</v>
      </c>
      <c r="F101" s="138" t="s">
        <v>688</v>
      </c>
      <c r="G101" s="138" t="s">
        <v>688</v>
      </c>
      <c r="H101" s="138" t="s">
        <v>688</v>
      </c>
      <c r="I101" s="141" t="s">
        <v>688</v>
      </c>
      <c r="J101" s="138" t="s">
        <v>688</v>
      </c>
      <c r="K101" s="138" t="s">
        <v>688</v>
      </c>
      <c r="L101" s="138" t="s">
        <v>688</v>
      </c>
      <c r="M101" s="138" t="s">
        <v>688</v>
      </c>
      <c r="N101" s="138" t="s">
        <v>688</v>
      </c>
      <c r="O101" s="613" t="s">
        <v>688</v>
      </c>
      <c r="P101" s="683" t="s">
        <v>688</v>
      </c>
      <c r="Q101" s="697" t="s">
        <v>688</v>
      </c>
      <c r="R101" s="141" t="s">
        <v>688</v>
      </c>
      <c r="S101" s="141" t="s">
        <v>688</v>
      </c>
      <c r="T101" s="141" t="s">
        <v>688</v>
      </c>
      <c r="U101" s="141" t="s">
        <v>688</v>
      </c>
    </row>
    <row r="102" spans="1:21" x14ac:dyDescent="0.2">
      <c r="A102">
        <f t="shared" si="5"/>
        <v>98</v>
      </c>
      <c r="B102" s="40" t="s">
        <v>26</v>
      </c>
      <c r="C102" s="148" t="str">
        <f t="shared" si="6"/>
        <v>4562, Part I, Ln 12</v>
      </c>
      <c r="D102" s="46">
        <f t="shared" si="7"/>
        <v>25</v>
      </c>
      <c r="E102" s="151" t="s">
        <v>702</v>
      </c>
      <c r="F102" s="141" t="s">
        <v>689</v>
      </c>
      <c r="G102" s="141" t="s">
        <v>689</v>
      </c>
      <c r="H102" s="141" t="s">
        <v>689</v>
      </c>
      <c r="I102" s="141" t="s">
        <v>689</v>
      </c>
      <c r="J102" s="141" t="s">
        <v>689</v>
      </c>
      <c r="K102" s="141" t="s">
        <v>689</v>
      </c>
      <c r="L102" s="141" t="s">
        <v>689</v>
      </c>
      <c r="M102" s="141" t="s">
        <v>689</v>
      </c>
      <c r="N102" s="141" t="s">
        <v>689</v>
      </c>
      <c r="O102" s="613" t="s">
        <v>689</v>
      </c>
      <c r="P102" s="683" t="s">
        <v>689</v>
      </c>
      <c r="Q102" s="697" t="s">
        <v>689</v>
      </c>
      <c r="R102" s="141" t="s">
        <v>689</v>
      </c>
      <c r="S102" s="141" t="s">
        <v>689</v>
      </c>
      <c r="T102" s="141" t="s">
        <v>689</v>
      </c>
      <c r="U102" s="141" t="s">
        <v>689</v>
      </c>
    </row>
    <row r="103" spans="1:21" x14ac:dyDescent="0.2">
      <c r="A103">
        <f t="shared" si="5"/>
        <v>99</v>
      </c>
      <c r="B103" s="40" t="s">
        <v>361</v>
      </c>
      <c r="C103" s="148" t="str">
        <f t="shared" si="6"/>
        <v>4562, Part I, Ln 13</v>
      </c>
      <c r="D103" s="46">
        <f t="shared" si="7"/>
        <v>26</v>
      </c>
      <c r="E103" s="151" t="s">
        <v>702</v>
      </c>
      <c r="F103" s="141" t="s">
        <v>362</v>
      </c>
      <c r="G103" s="141" t="s">
        <v>362</v>
      </c>
      <c r="H103" s="141" t="s">
        <v>362</v>
      </c>
      <c r="I103" s="141" t="s">
        <v>362</v>
      </c>
      <c r="J103" s="141" t="s">
        <v>362</v>
      </c>
      <c r="K103" s="141" t="s">
        <v>362</v>
      </c>
      <c r="L103" s="141" t="s">
        <v>362</v>
      </c>
      <c r="M103" s="141" t="s">
        <v>362</v>
      </c>
      <c r="N103" s="141" t="s">
        <v>362</v>
      </c>
      <c r="O103" s="613" t="s">
        <v>362</v>
      </c>
      <c r="P103" s="683" t="s">
        <v>362</v>
      </c>
      <c r="Q103" s="697" t="s">
        <v>362</v>
      </c>
      <c r="R103" s="141" t="s">
        <v>362</v>
      </c>
      <c r="S103" s="141" t="s">
        <v>362</v>
      </c>
      <c r="T103" s="141" t="s">
        <v>362</v>
      </c>
      <c r="U103" s="141" t="s">
        <v>362</v>
      </c>
    </row>
    <row r="104" spans="1:21" x14ac:dyDescent="0.2">
      <c r="A104">
        <f t="shared" si="5"/>
        <v>100</v>
      </c>
      <c r="B104" s="40" t="s">
        <v>654</v>
      </c>
      <c r="C104" s="148" t="str">
        <f t="shared" si="6"/>
        <v>Form 1120, Pg 1, Ln 19</v>
      </c>
      <c r="D104" s="46">
        <f t="shared" si="7"/>
        <v>27</v>
      </c>
      <c r="E104" s="151" t="s">
        <v>702</v>
      </c>
      <c r="F104" s="138" t="s">
        <v>695</v>
      </c>
      <c r="G104" s="138" t="s">
        <v>695</v>
      </c>
      <c r="H104" s="138" t="s">
        <v>695</v>
      </c>
      <c r="I104" s="141" t="s">
        <v>695</v>
      </c>
      <c r="J104" s="138" t="s">
        <v>695</v>
      </c>
      <c r="K104" s="138" t="s">
        <v>695</v>
      </c>
      <c r="L104" s="138" t="s">
        <v>695</v>
      </c>
      <c r="M104" s="138" t="s">
        <v>695</v>
      </c>
      <c r="N104" s="138" t="s">
        <v>695</v>
      </c>
      <c r="O104" s="613" t="s">
        <v>695</v>
      </c>
      <c r="P104" s="683" t="s">
        <v>695</v>
      </c>
      <c r="Q104" s="697" t="s">
        <v>695</v>
      </c>
      <c r="R104" s="138" t="s">
        <v>695</v>
      </c>
      <c r="S104" s="138" t="s">
        <v>695</v>
      </c>
      <c r="T104" s="732" t="s">
        <v>695</v>
      </c>
      <c r="U104" s="747" t="s">
        <v>695</v>
      </c>
    </row>
    <row r="105" spans="1:21" x14ac:dyDescent="0.2">
      <c r="A105">
        <f t="shared" si="5"/>
        <v>101</v>
      </c>
      <c r="B105" s="47" t="s">
        <v>28</v>
      </c>
      <c r="C105" s="148" t="str">
        <f t="shared" si="6"/>
        <v>Not Applicable</v>
      </c>
      <c r="D105" s="46">
        <f t="shared" si="7"/>
        <v>28</v>
      </c>
      <c r="E105" s="151" t="s">
        <v>702</v>
      </c>
      <c r="F105" s="138" t="s">
        <v>683</v>
      </c>
      <c r="G105" s="138" t="s">
        <v>683</v>
      </c>
      <c r="H105" s="138" t="s">
        <v>683</v>
      </c>
      <c r="I105" s="138" t="s">
        <v>683</v>
      </c>
      <c r="J105" s="138" t="s">
        <v>683</v>
      </c>
      <c r="K105" s="138" t="s">
        <v>683</v>
      </c>
      <c r="L105" s="138" t="s">
        <v>683</v>
      </c>
      <c r="M105" s="138" t="s">
        <v>683</v>
      </c>
      <c r="N105" s="138" t="s">
        <v>683</v>
      </c>
      <c r="O105" s="613" t="s">
        <v>683</v>
      </c>
      <c r="P105" s="683" t="s">
        <v>683</v>
      </c>
      <c r="Q105" s="138" t="s">
        <v>683</v>
      </c>
      <c r="R105" s="138" t="s">
        <v>683</v>
      </c>
      <c r="S105" s="138" t="s">
        <v>683</v>
      </c>
      <c r="T105" s="732" t="s">
        <v>683</v>
      </c>
      <c r="U105" s="747" t="s">
        <v>683</v>
      </c>
    </row>
    <row r="106" spans="1:21" x14ac:dyDescent="0.2">
      <c r="A106">
        <f t="shared" si="5"/>
        <v>102</v>
      </c>
      <c r="B106" s="47" t="s">
        <v>27</v>
      </c>
      <c r="C106" s="148" t="str">
        <f t="shared" si="6"/>
        <v>Not Applicable</v>
      </c>
      <c r="D106" s="46">
        <f t="shared" si="7"/>
        <v>29</v>
      </c>
      <c r="E106" s="151" t="s">
        <v>702</v>
      </c>
      <c r="F106" s="138" t="s">
        <v>683</v>
      </c>
      <c r="G106" s="138" t="s">
        <v>683</v>
      </c>
      <c r="H106" s="138" t="s">
        <v>683</v>
      </c>
      <c r="I106" s="138" t="s">
        <v>683</v>
      </c>
      <c r="J106" s="138" t="s">
        <v>683</v>
      </c>
      <c r="K106" s="138" t="s">
        <v>683</v>
      </c>
      <c r="L106" s="138" t="s">
        <v>683</v>
      </c>
      <c r="M106" s="138" t="s">
        <v>683</v>
      </c>
      <c r="N106" s="138" t="s">
        <v>683</v>
      </c>
      <c r="O106" s="613" t="s">
        <v>683</v>
      </c>
      <c r="P106" s="683" t="s">
        <v>683</v>
      </c>
      <c r="Q106" s="138" t="s">
        <v>683</v>
      </c>
      <c r="R106" s="138" t="s">
        <v>683</v>
      </c>
      <c r="S106" s="138" t="s">
        <v>683</v>
      </c>
      <c r="T106" s="732" t="s">
        <v>683</v>
      </c>
      <c r="U106" s="747" t="s">
        <v>683</v>
      </c>
    </row>
    <row r="107" spans="1:21" x14ac:dyDescent="0.2">
      <c r="A107">
        <f t="shared" si="5"/>
        <v>103</v>
      </c>
      <c r="B107" s="47" t="s">
        <v>757</v>
      </c>
      <c r="C107" s="148" t="str">
        <f t="shared" si="6"/>
        <v>Not Applicable</v>
      </c>
      <c r="D107" s="46">
        <f t="shared" si="7"/>
        <v>30</v>
      </c>
      <c r="E107" s="151" t="s">
        <v>702</v>
      </c>
      <c r="F107" s="138" t="s">
        <v>683</v>
      </c>
      <c r="G107" s="138" t="s">
        <v>683</v>
      </c>
      <c r="H107" s="138" t="s">
        <v>683</v>
      </c>
      <c r="I107" s="138" t="s">
        <v>683</v>
      </c>
      <c r="J107" s="138" t="s">
        <v>683</v>
      </c>
      <c r="K107" s="138" t="s">
        <v>683</v>
      </c>
      <c r="L107" s="138" t="s">
        <v>683</v>
      </c>
      <c r="M107" s="138" t="s">
        <v>683</v>
      </c>
      <c r="N107" s="138" t="s">
        <v>683</v>
      </c>
      <c r="O107" s="613" t="s">
        <v>683</v>
      </c>
      <c r="P107" s="683" t="s">
        <v>683</v>
      </c>
      <c r="Q107" s="138" t="s">
        <v>683</v>
      </c>
      <c r="R107" s="138" t="s">
        <v>683</v>
      </c>
      <c r="S107" s="138" t="s">
        <v>683</v>
      </c>
      <c r="T107" s="732" t="s">
        <v>683</v>
      </c>
      <c r="U107" s="747" t="s">
        <v>683</v>
      </c>
    </row>
    <row r="108" spans="1:21" x14ac:dyDescent="0.2">
      <c r="A108">
        <f t="shared" si="5"/>
        <v>104</v>
      </c>
      <c r="B108" s="40" t="s">
        <v>678</v>
      </c>
      <c r="C108" s="148" t="str">
        <f t="shared" si="6"/>
        <v>4797, Part III, Ln 22</v>
      </c>
      <c r="D108" s="46">
        <f t="shared" si="7"/>
        <v>31</v>
      </c>
      <c r="E108" s="151" t="s">
        <v>702</v>
      </c>
      <c r="F108" s="138" t="s">
        <v>12</v>
      </c>
      <c r="G108" s="138" t="s">
        <v>12</v>
      </c>
      <c r="H108" s="138" t="s">
        <v>12</v>
      </c>
      <c r="I108" s="138" t="s">
        <v>12</v>
      </c>
      <c r="J108" s="138" t="s">
        <v>12</v>
      </c>
      <c r="K108" s="138" t="s">
        <v>12</v>
      </c>
      <c r="L108" s="138" t="s">
        <v>12</v>
      </c>
      <c r="M108" s="138" t="s">
        <v>12</v>
      </c>
      <c r="N108" s="138" t="s">
        <v>12</v>
      </c>
      <c r="O108" s="613" t="s">
        <v>12</v>
      </c>
      <c r="P108" s="683" t="s">
        <v>12</v>
      </c>
      <c r="Q108" s="697" t="s">
        <v>12</v>
      </c>
      <c r="R108" s="141" t="s">
        <v>12</v>
      </c>
      <c r="S108" s="141" t="s">
        <v>12</v>
      </c>
      <c r="T108" s="141" t="s">
        <v>12</v>
      </c>
      <c r="U108" s="141" t="s">
        <v>12</v>
      </c>
    </row>
    <row r="109" spans="1:21" x14ac:dyDescent="0.2">
      <c r="A109">
        <f t="shared" si="5"/>
        <v>105</v>
      </c>
      <c r="B109" s="41" t="s">
        <v>679</v>
      </c>
      <c r="C109" s="148" t="str">
        <f t="shared" si="6"/>
        <v>4797, Part III, Ln 24</v>
      </c>
      <c r="D109" s="46">
        <f t="shared" si="7"/>
        <v>32</v>
      </c>
      <c r="E109" s="151" t="s">
        <v>702</v>
      </c>
      <c r="F109" s="138" t="s">
        <v>13</v>
      </c>
      <c r="G109" s="138" t="s">
        <v>13</v>
      </c>
      <c r="H109" s="138" t="s">
        <v>13</v>
      </c>
      <c r="I109" s="138" t="s">
        <v>13</v>
      </c>
      <c r="J109" s="138" t="s">
        <v>13</v>
      </c>
      <c r="K109" s="138" t="s">
        <v>13</v>
      </c>
      <c r="L109" s="138" t="s">
        <v>13</v>
      </c>
      <c r="M109" s="138" t="s">
        <v>13</v>
      </c>
      <c r="N109" s="138" t="s">
        <v>13</v>
      </c>
      <c r="O109" s="613" t="s">
        <v>13</v>
      </c>
      <c r="P109" s="683" t="s">
        <v>13</v>
      </c>
      <c r="Q109" s="697" t="s">
        <v>13</v>
      </c>
      <c r="R109" s="141" t="s">
        <v>13</v>
      </c>
      <c r="S109" s="141" t="s">
        <v>13</v>
      </c>
      <c r="T109" s="141" t="s">
        <v>13</v>
      </c>
      <c r="U109" s="141" t="s">
        <v>13</v>
      </c>
    </row>
    <row r="110" spans="1:21" x14ac:dyDescent="0.2">
      <c r="A110">
        <f t="shared" si="5"/>
        <v>106</v>
      </c>
      <c r="B110" s="41" t="s">
        <v>680</v>
      </c>
      <c r="C110" s="147"/>
      <c r="D110" s="46">
        <f t="shared" si="7"/>
        <v>33</v>
      </c>
      <c r="E110" s="139"/>
      <c r="F110" s="139"/>
      <c r="G110" s="139"/>
      <c r="H110" s="139"/>
      <c r="I110" s="139"/>
      <c r="J110" s="139"/>
      <c r="K110" s="139"/>
      <c r="L110" s="139"/>
      <c r="M110" s="139"/>
      <c r="N110" s="139"/>
      <c r="O110" s="139"/>
      <c r="P110" s="139"/>
      <c r="Q110" s="139"/>
      <c r="R110" s="139"/>
      <c r="S110" s="139"/>
      <c r="T110" s="733"/>
      <c r="U110" s="748"/>
    </row>
    <row r="111" spans="1:21" x14ac:dyDescent="0.2">
      <c r="A111">
        <f t="shared" si="5"/>
        <v>107</v>
      </c>
      <c r="B111" s="41" t="s">
        <v>105</v>
      </c>
      <c r="C111" s="148" t="str">
        <f>HLOOKUP($C$2,$E$5:$T$255,$A111,FALSE)</f>
        <v>4797, Part III, Ln 26g</v>
      </c>
      <c r="D111" s="46">
        <f t="shared" si="7"/>
        <v>34</v>
      </c>
      <c r="E111" s="151" t="s">
        <v>702</v>
      </c>
      <c r="F111" s="138" t="s">
        <v>106</v>
      </c>
      <c r="G111" s="138" t="s">
        <v>106</v>
      </c>
      <c r="H111" s="138" t="s">
        <v>106</v>
      </c>
      <c r="I111" s="138" t="s">
        <v>106</v>
      </c>
      <c r="J111" s="138" t="s">
        <v>106</v>
      </c>
      <c r="K111" s="138" t="s">
        <v>106</v>
      </c>
      <c r="L111" s="138" t="s">
        <v>106</v>
      </c>
      <c r="M111" s="138" t="s">
        <v>106</v>
      </c>
      <c r="N111" s="138" t="s">
        <v>106</v>
      </c>
      <c r="O111" s="613" t="s">
        <v>106</v>
      </c>
      <c r="P111" s="683" t="s">
        <v>106</v>
      </c>
      <c r="Q111" s="697" t="s">
        <v>106</v>
      </c>
      <c r="R111" s="141" t="s">
        <v>106</v>
      </c>
      <c r="S111" s="141" t="s">
        <v>106</v>
      </c>
      <c r="T111" s="141" t="s">
        <v>106</v>
      </c>
      <c r="U111" s="141" t="s">
        <v>106</v>
      </c>
    </row>
    <row r="112" spans="1:21" x14ac:dyDescent="0.2">
      <c r="A112">
        <f t="shared" si="5"/>
        <v>108</v>
      </c>
      <c r="G112" s="124"/>
      <c r="M112" s="152"/>
      <c r="N112" s="152"/>
      <c r="O112" s="152"/>
      <c r="P112" s="152"/>
      <c r="Q112" s="152"/>
      <c r="R112" s="152"/>
      <c r="S112" s="152"/>
      <c r="T112" s="152"/>
      <c r="U112" s="152"/>
    </row>
    <row r="113" spans="1:21" x14ac:dyDescent="0.2">
      <c r="A113">
        <f t="shared" si="5"/>
        <v>109</v>
      </c>
      <c r="B113" s="150" t="s">
        <v>690</v>
      </c>
      <c r="G113" s="124"/>
      <c r="M113" s="152"/>
      <c r="N113" s="152"/>
      <c r="O113" s="152"/>
      <c r="P113" s="152"/>
      <c r="Q113" s="152"/>
      <c r="R113" s="152"/>
      <c r="S113" s="152"/>
      <c r="T113" s="152"/>
      <c r="U113" s="152"/>
    </row>
    <row r="114" spans="1:21" x14ac:dyDescent="0.2">
      <c r="A114">
        <f t="shared" si="5"/>
        <v>110</v>
      </c>
      <c r="B114" s="45" t="s">
        <v>22</v>
      </c>
      <c r="C114" s="148" t="str">
        <f t="shared" ref="C114:C145" si="8">HLOOKUP($C$2,$E$5:$T$255,$A114,FALSE)</f>
        <v>1120-A Retired: File 1120</v>
      </c>
      <c r="D114" s="46">
        <v>1</v>
      </c>
      <c r="E114" s="151" t="s">
        <v>702</v>
      </c>
      <c r="F114" s="138" t="s">
        <v>706</v>
      </c>
      <c r="G114" s="138" t="s">
        <v>706</v>
      </c>
      <c r="H114" s="138" t="s">
        <v>706</v>
      </c>
      <c r="I114" s="141" t="s">
        <v>590</v>
      </c>
      <c r="J114" s="141" t="s">
        <v>590</v>
      </c>
      <c r="K114" s="141" t="s">
        <v>590</v>
      </c>
      <c r="L114" s="141" t="s">
        <v>590</v>
      </c>
      <c r="M114" s="141" t="s">
        <v>590</v>
      </c>
      <c r="N114" s="141" t="s">
        <v>590</v>
      </c>
      <c r="O114" s="141" t="s">
        <v>590</v>
      </c>
      <c r="P114" s="141" t="s">
        <v>590</v>
      </c>
      <c r="Q114" s="141" t="s">
        <v>590</v>
      </c>
      <c r="R114" s="141" t="s">
        <v>590</v>
      </c>
      <c r="S114" s="141" t="s">
        <v>590</v>
      </c>
      <c r="T114" s="141" t="s">
        <v>590</v>
      </c>
      <c r="U114" s="141" t="s">
        <v>590</v>
      </c>
    </row>
    <row r="115" spans="1:21" x14ac:dyDescent="0.2">
      <c r="A115">
        <f t="shared" si="5"/>
        <v>111</v>
      </c>
      <c r="B115" s="45" t="s">
        <v>1261</v>
      </c>
      <c r="C115" s="148" t="str">
        <f t="shared" si="8"/>
        <v>1120-A Retired: File 1120</v>
      </c>
      <c r="D115" s="46">
        <f t="shared" ref="D115:D147" si="9">+D114+1</f>
        <v>2</v>
      </c>
      <c r="E115" s="151" t="s">
        <v>702</v>
      </c>
      <c r="F115" s="138" t="s">
        <v>1263</v>
      </c>
      <c r="G115" s="138" t="s">
        <v>1263</v>
      </c>
      <c r="H115" s="138" t="s">
        <v>1263</v>
      </c>
      <c r="I115" s="141" t="s">
        <v>590</v>
      </c>
      <c r="J115" s="141" t="s">
        <v>590</v>
      </c>
      <c r="K115" s="141" t="s">
        <v>590</v>
      </c>
      <c r="L115" s="141" t="s">
        <v>590</v>
      </c>
      <c r="M115" s="141" t="s">
        <v>590</v>
      </c>
      <c r="N115" s="141" t="s">
        <v>590</v>
      </c>
      <c r="O115" s="141" t="s">
        <v>590</v>
      </c>
      <c r="P115" s="141" t="s">
        <v>590</v>
      </c>
      <c r="Q115" s="141" t="s">
        <v>590</v>
      </c>
      <c r="R115" s="141" t="s">
        <v>590</v>
      </c>
      <c r="S115" s="141" t="s">
        <v>590</v>
      </c>
      <c r="T115" s="141" t="s">
        <v>590</v>
      </c>
      <c r="U115" s="141" t="s">
        <v>590</v>
      </c>
    </row>
    <row r="116" spans="1:21" x14ac:dyDescent="0.2">
      <c r="A116">
        <f t="shared" si="5"/>
        <v>112</v>
      </c>
      <c r="B116" s="40" t="s">
        <v>9</v>
      </c>
      <c r="C116" s="148" t="str">
        <f t="shared" si="8"/>
        <v>1120-A Retired: File 1120</v>
      </c>
      <c r="D116" s="46">
        <f t="shared" si="9"/>
        <v>3</v>
      </c>
      <c r="E116" s="151" t="s">
        <v>702</v>
      </c>
      <c r="F116" s="138" t="s">
        <v>66</v>
      </c>
      <c r="G116" s="138" t="s">
        <v>66</v>
      </c>
      <c r="H116" s="138" t="s">
        <v>66</v>
      </c>
      <c r="I116" s="141" t="s">
        <v>590</v>
      </c>
      <c r="J116" s="141" t="s">
        <v>590</v>
      </c>
      <c r="K116" s="141" t="s">
        <v>590</v>
      </c>
      <c r="L116" s="141" t="s">
        <v>590</v>
      </c>
      <c r="M116" s="141" t="s">
        <v>590</v>
      </c>
      <c r="N116" s="141" t="s">
        <v>590</v>
      </c>
      <c r="O116" s="141" t="s">
        <v>590</v>
      </c>
      <c r="P116" s="141" t="s">
        <v>590</v>
      </c>
      <c r="Q116" s="141" t="s">
        <v>590</v>
      </c>
      <c r="R116" s="141" t="s">
        <v>590</v>
      </c>
      <c r="S116" s="141" t="s">
        <v>590</v>
      </c>
      <c r="T116" s="141" t="s">
        <v>590</v>
      </c>
      <c r="U116" s="141" t="s">
        <v>590</v>
      </c>
    </row>
    <row r="117" spans="1:21" x14ac:dyDescent="0.2">
      <c r="A117">
        <f t="shared" si="5"/>
        <v>113</v>
      </c>
      <c r="B117" s="40" t="s">
        <v>10</v>
      </c>
      <c r="C117" s="148" t="str">
        <f t="shared" si="8"/>
        <v>1120-A Retired: File 1120</v>
      </c>
      <c r="D117" s="46">
        <f t="shared" si="9"/>
        <v>4</v>
      </c>
      <c r="E117" s="151" t="s">
        <v>702</v>
      </c>
      <c r="F117" s="138" t="s">
        <v>67</v>
      </c>
      <c r="G117" s="138" t="s">
        <v>67</v>
      </c>
      <c r="H117" s="138" t="s">
        <v>67</v>
      </c>
      <c r="I117" s="141" t="s">
        <v>590</v>
      </c>
      <c r="J117" s="141" t="s">
        <v>590</v>
      </c>
      <c r="K117" s="141" t="s">
        <v>590</v>
      </c>
      <c r="L117" s="141" t="s">
        <v>590</v>
      </c>
      <c r="M117" s="141" t="s">
        <v>590</v>
      </c>
      <c r="N117" s="141" t="s">
        <v>590</v>
      </c>
      <c r="O117" s="141" t="s">
        <v>590</v>
      </c>
      <c r="P117" s="141" t="s">
        <v>590</v>
      </c>
      <c r="Q117" s="141" t="s">
        <v>590</v>
      </c>
      <c r="R117" s="141" t="s">
        <v>590</v>
      </c>
      <c r="S117" s="141" t="s">
        <v>590</v>
      </c>
      <c r="T117" s="141" t="s">
        <v>590</v>
      </c>
      <c r="U117" s="141" t="s">
        <v>590</v>
      </c>
    </row>
    <row r="118" spans="1:21" x14ac:dyDescent="0.2">
      <c r="A118">
        <f t="shared" si="5"/>
        <v>114</v>
      </c>
      <c r="B118" s="40" t="s">
        <v>11</v>
      </c>
      <c r="C118" s="148" t="str">
        <f t="shared" si="8"/>
        <v>1120-A Retired: File 1120</v>
      </c>
      <c r="D118" s="46">
        <f t="shared" si="9"/>
        <v>5</v>
      </c>
      <c r="E118" s="151" t="s">
        <v>702</v>
      </c>
      <c r="F118" s="138" t="s">
        <v>74</v>
      </c>
      <c r="G118" s="138" t="s">
        <v>74</v>
      </c>
      <c r="H118" s="138" t="s">
        <v>74</v>
      </c>
      <c r="I118" s="141" t="s">
        <v>590</v>
      </c>
      <c r="J118" s="141" t="s">
        <v>590</v>
      </c>
      <c r="K118" s="141" t="s">
        <v>590</v>
      </c>
      <c r="L118" s="141" t="s">
        <v>590</v>
      </c>
      <c r="M118" s="141" t="s">
        <v>590</v>
      </c>
      <c r="N118" s="141" t="s">
        <v>590</v>
      </c>
      <c r="O118" s="141" t="s">
        <v>590</v>
      </c>
      <c r="P118" s="141" t="s">
        <v>590</v>
      </c>
      <c r="Q118" s="141" t="s">
        <v>590</v>
      </c>
      <c r="R118" s="141" t="s">
        <v>590</v>
      </c>
      <c r="S118" s="141" t="s">
        <v>590</v>
      </c>
      <c r="T118" s="141" t="s">
        <v>590</v>
      </c>
      <c r="U118" s="141" t="s">
        <v>590</v>
      </c>
    </row>
    <row r="119" spans="1:21" x14ac:dyDescent="0.2">
      <c r="A119">
        <f t="shared" si="5"/>
        <v>115</v>
      </c>
      <c r="B119" s="40" t="s">
        <v>112</v>
      </c>
      <c r="C119" s="148" t="str">
        <f t="shared" si="8"/>
        <v>1120-A Retired: File 1120</v>
      </c>
      <c r="D119" s="46">
        <f t="shared" si="9"/>
        <v>6</v>
      </c>
      <c r="E119" s="151" t="s">
        <v>702</v>
      </c>
      <c r="F119" s="138" t="s">
        <v>115</v>
      </c>
      <c r="G119" s="138" t="s">
        <v>115</v>
      </c>
      <c r="H119" s="138" t="s">
        <v>115</v>
      </c>
      <c r="I119" s="141" t="s">
        <v>590</v>
      </c>
      <c r="J119" s="141" t="s">
        <v>590</v>
      </c>
      <c r="K119" s="141" t="s">
        <v>590</v>
      </c>
      <c r="L119" s="141" t="s">
        <v>590</v>
      </c>
      <c r="M119" s="141" t="s">
        <v>590</v>
      </c>
      <c r="N119" s="141" t="s">
        <v>590</v>
      </c>
      <c r="O119" s="141" t="s">
        <v>590</v>
      </c>
      <c r="P119" s="141" t="s">
        <v>590</v>
      </c>
      <c r="Q119" s="141" t="s">
        <v>590</v>
      </c>
      <c r="R119" s="141" t="s">
        <v>590</v>
      </c>
      <c r="S119" s="141" t="s">
        <v>590</v>
      </c>
      <c r="T119" s="141" t="s">
        <v>590</v>
      </c>
      <c r="U119" s="141" t="s">
        <v>590</v>
      </c>
    </row>
    <row r="120" spans="1:21" x14ac:dyDescent="0.2">
      <c r="A120">
        <f t="shared" si="5"/>
        <v>116</v>
      </c>
      <c r="B120" s="40" t="s">
        <v>1201</v>
      </c>
      <c r="C120" s="148" t="str">
        <f t="shared" si="8"/>
        <v>1120-A Retired: File 1120</v>
      </c>
      <c r="D120" s="46">
        <f t="shared" si="9"/>
        <v>7</v>
      </c>
      <c r="E120" s="151" t="s">
        <v>702</v>
      </c>
      <c r="F120" s="138" t="s">
        <v>1209</v>
      </c>
      <c r="G120" s="138" t="s">
        <v>1209</v>
      </c>
      <c r="H120" s="138" t="s">
        <v>1209</v>
      </c>
      <c r="I120" s="141" t="s">
        <v>590</v>
      </c>
      <c r="J120" s="141" t="s">
        <v>590</v>
      </c>
      <c r="K120" s="141" t="s">
        <v>590</v>
      </c>
      <c r="L120" s="141" t="s">
        <v>590</v>
      </c>
      <c r="M120" s="141" t="s">
        <v>590</v>
      </c>
      <c r="N120" s="141" t="s">
        <v>590</v>
      </c>
      <c r="O120" s="141" t="s">
        <v>590</v>
      </c>
      <c r="P120" s="141" t="s">
        <v>590</v>
      </c>
      <c r="Q120" s="141" t="s">
        <v>590</v>
      </c>
      <c r="R120" s="141" t="s">
        <v>590</v>
      </c>
      <c r="S120" s="141" t="s">
        <v>590</v>
      </c>
      <c r="T120" s="141" t="s">
        <v>590</v>
      </c>
      <c r="U120" s="141" t="s">
        <v>590</v>
      </c>
    </row>
    <row r="121" spans="1:21" x14ac:dyDescent="0.2">
      <c r="A121">
        <f t="shared" si="5"/>
        <v>117</v>
      </c>
      <c r="B121" s="40" t="s">
        <v>1202</v>
      </c>
      <c r="C121" s="148" t="str">
        <f t="shared" si="8"/>
        <v>1120-A Retired: File 1120</v>
      </c>
      <c r="D121" s="46">
        <f t="shared" si="9"/>
        <v>8</v>
      </c>
      <c r="E121" s="151" t="s">
        <v>702</v>
      </c>
      <c r="F121" s="138" t="s">
        <v>1210</v>
      </c>
      <c r="G121" s="138" t="s">
        <v>1210</v>
      </c>
      <c r="H121" s="138" t="s">
        <v>1210</v>
      </c>
      <c r="I121" s="141" t="s">
        <v>590</v>
      </c>
      <c r="J121" s="141" t="s">
        <v>590</v>
      </c>
      <c r="K121" s="141" t="s">
        <v>590</v>
      </c>
      <c r="L121" s="141" t="s">
        <v>590</v>
      </c>
      <c r="M121" s="141" t="s">
        <v>590</v>
      </c>
      <c r="N121" s="141" t="s">
        <v>590</v>
      </c>
      <c r="O121" s="141" t="s">
        <v>590</v>
      </c>
      <c r="P121" s="141" t="s">
        <v>590</v>
      </c>
      <c r="Q121" s="141" t="s">
        <v>590</v>
      </c>
      <c r="R121" s="141" t="s">
        <v>590</v>
      </c>
      <c r="S121" s="141" t="s">
        <v>590</v>
      </c>
      <c r="T121" s="141" t="s">
        <v>590</v>
      </c>
      <c r="U121" s="141" t="s">
        <v>590</v>
      </c>
    </row>
    <row r="122" spans="1:21" x14ac:dyDescent="0.2">
      <c r="A122">
        <f t="shared" si="5"/>
        <v>118</v>
      </c>
      <c r="B122" s="40" t="s">
        <v>1203</v>
      </c>
      <c r="C122" s="148" t="str">
        <f t="shared" si="8"/>
        <v>1120-A Retired: File 1120</v>
      </c>
      <c r="D122" s="46">
        <f t="shared" si="9"/>
        <v>9</v>
      </c>
      <c r="E122" s="151" t="s">
        <v>702</v>
      </c>
      <c r="F122" s="138" t="s">
        <v>1211</v>
      </c>
      <c r="G122" s="138" t="s">
        <v>1211</v>
      </c>
      <c r="H122" s="138" t="s">
        <v>1211</v>
      </c>
      <c r="I122" s="141" t="s">
        <v>590</v>
      </c>
      <c r="J122" s="141" t="s">
        <v>590</v>
      </c>
      <c r="K122" s="141" t="s">
        <v>590</v>
      </c>
      <c r="L122" s="141" t="s">
        <v>590</v>
      </c>
      <c r="M122" s="141" t="s">
        <v>590</v>
      </c>
      <c r="N122" s="141" t="s">
        <v>590</v>
      </c>
      <c r="O122" s="141" t="s">
        <v>590</v>
      </c>
      <c r="P122" s="141" t="s">
        <v>590</v>
      </c>
      <c r="Q122" s="141" t="s">
        <v>590</v>
      </c>
      <c r="R122" s="141" t="s">
        <v>590</v>
      </c>
      <c r="S122" s="141" t="s">
        <v>590</v>
      </c>
      <c r="T122" s="141" t="s">
        <v>590</v>
      </c>
      <c r="U122" s="141" t="s">
        <v>590</v>
      </c>
    </row>
    <row r="123" spans="1:21" x14ac:dyDescent="0.2">
      <c r="A123">
        <f t="shared" si="5"/>
        <v>119</v>
      </c>
      <c r="B123" s="40" t="s">
        <v>1204</v>
      </c>
      <c r="C123" s="148" t="str">
        <f t="shared" si="8"/>
        <v>1120-A Retired: File 1120</v>
      </c>
      <c r="D123" s="46">
        <f t="shared" si="9"/>
        <v>10</v>
      </c>
      <c r="E123" s="151" t="s">
        <v>702</v>
      </c>
      <c r="F123" s="138" t="s">
        <v>752</v>
      </c>
      <c r="G123" s="138" t="s">
        <v>752</v>
      </c>
      <c r="H123" s="138" t="s">
        <v>752</v>
      </c>
      <c r="I123" s="141" t="s">
        <v>590</v>
      </c>
      <c r="J123" s="141" t="s">
        <v>590</v>
      </c>
      <c r="K123" s="141" t="s">
        <v>590</v>
      </c>
      <c r="L123" s="141" t="s">
        <v>590</v>
      </c>
      <c r="M123" s="141" t="s">
        <v>590</v>
      </c>
      <c r="N123" s="141" t="s">
        <v>590</v>
      </c>
      <c r="O123" s="141" t="s">
        <v>590</v>
      </c>
      <c r="P123" s="141" t="s">
        <v>590</v>
      </c>
      <c r="Q123" s="141" t="s">
        <v>590</v>
      </c>
      <c r="R123" s="141" t="s">
        <v>590</v>
      </c>
      <c r="S123" s="141" t="s">
        <v>590</v>
      </c>
      <c r="T123" s="141" t="s">
        <v>590</v>
      </c>
      <c r="U123" s="141" t="s">
        <v>590</v>
      </c>
    </row>
    <row r="124" spans="1:21" x14ac:dyDescent="0.2">
      <c r="A124">
        <f t="shared" si="5"/>
        <v>120</v>
      </c>
      <c r="B124" s="40" t="s">
        <v>1322</v>
      </c>
      <c r="C124" s="148" t="str">
        <f t="shared" si="8"/>
        <v>1120-A Retired: File 1120</v>
      </c>
      <c r="D124" s="46">
        <f t="shared" si="9"/>
        <v>11</v>
      </c>
      <c r="E124" s="151" t="s">
        <v>702</v>
      </c>
      <c r="F124" s="142" t="s">
        <v>1328</v>
      </c>
      <c r="G124" s="142" t="s">
        <v>1328</v>
      </c>
      <c r="H124" s="142" t="s">
        <v>1328</v>
      </c>
      <c r="I124" s="141" t="s">
        <v>590</v>
      </c>
      <c r="J124" s="141" t="s">
        <v>590</v>
      </c>
      <c r="K124" s="141" t="s">
        <v>590</v>
      </c>
      <c r="L124" s="141" t="s">
        <v>590</v>
      </c>
      <c r="M124" s="141" t="s">
        <v>590</v>
      </c>
      <c r="N124" s="141" t="s">
        <v>590</v>
      </c>
      <c r="O124" s="141" t="s">
        <v>590</v>
      </c>
      <c r="P124" s="141" t="s">
        <v>590</v>
      </c>
      <c r="Q124" s="141" t="s">
        <v>590</v>
      </c>
      <c r="R124" s="141" t="s">
        <v>590</v>
      </c>
      <c r="S124" s="141" t="s">
        <v>590</v>
      </c>
      <c r="T124" s="141" t="s">
        <v>590</v>
      </c>
      <c r="U124" s="141" t="s">
        <v>590</v>
      </c>
    </row>
    <row r="125" spans="1:21" x14ac:dyDescent="0.2">
      <c r="A125">
        <f t="shared" si="5"/>
        <v>121</v>
      </c>
      <c r="B125" s="40" t="s">
        <v>1325</v>
      </c>
      <c r="C125" s="148" t="str">
        <f t="shared" si="8"/>
        <v>1120-A Retired: File 1120</v>
      </c>
      <c r="D125" s="46">
        <f t="shared" si="9"/>
        <v>12</v>
      </c>
      <c r="E125" s="151" t="s">
        <v>702</v>
      </c>
      <c r="F125" s="148" t="s">
        <v>170</v>
      </c>
      <c r="G125" s="148" t="s">
        <v>170</v>
      </c>
      <c r="H125" s="148" t="s">
        <v>170</v>
      </c>
      <c r="I125" s="141" t="s">
        <v>590</v>
      </c>
      <c r="J125" s="141" t="s">
        <v>590</v>
      </c>
      <c r="K125" s="141" t="s">
        <v>590</v>
      </c>
      <c r="L125" s="141" t="s">
        <v>590</v>
      </c>
      <c r="M125" s="141" t="s">
        <v>590</v>
      </c>
      <c r="N125" s="141" t="s">
        <v>590</v>
      </c>
      <c r="O125" s="141" t="s">
        <v>590</v>
      </c>
      <c r="P125" s="141" t="s">
        <v>590</v>
      </c>
      <c r="Q125" s="141" t="s">
        <v>590</v>
      </c>
      <c r="R125" s="141" t="s">
        <v>590</v>
      </c>
      <c r="S125" s="141" t="s">
        <v>590</v>
      </c>
      <c r="T125" s="141" t="s">
        <v>590</v>
      </c>
      <c r="U125" s="141" t="s">
        <v>590</v>
      </c>
    </row>
    <row r="126" spans="1:21" ht="24.95" customHeight="1" x14ac:dyDescent="0.2">
      <c r="A126">
        <f t="shared" si="5"/>
        <v>122</v>
      </c>
      <c r="B126" s="45" t="s">
        <v>1266</v>
      </c>
      <c r="C126" s="148" t="str">
        <f t="shared" si="8"/>
        <v>1120-A Retired: File 1120</v>
      </c>
      <c r="D126" s="46">
        <f t="shared" si="9"/>
        <v>13</v>
      </c>
      <c r="E126" s="151" t="s">
        <v>702</v>
      </c>
      <c r="F126" s="148" t="s">
        <v>171</v>
      </c>
      <c r="G126" s="148" t="s">
        <v>171</v>
      </c>
      <c r="H126" s="148" t="s">
        <v>171</v>
      </c>
      <c r="I126" s="141" t="s">
        <v>590</v>
      </c>
      <c r="J126" s="141" t="s">
        <v>590</v>
      </c>
      <c r="K126" s="141" t="s">
        <v>590</v>
      </c>
      <c r="L126" s="141" t="s">
        <v>590</v>
      </c>
      <c r="M126" s="141" t="s">
        <v>590</v>
      </c>
      <c r="N126" s="141" t="s">
        <v>590</v>
      </c>
      <c r="O126" s="141" t="s">
        <v>590</v>
      </c>
      <c r="P126" s="141" t="s">
        <v>590</v>
      </c>
      <c r="Q126" s="141" t="s">
        <v>590</v>
      </c>
      <c r="R126" s="141" t="s">
        <v>590</v>
      </c>
      <c r="S126" s="141" t="s">
        <v>590</v>
      </c>
      <c r="T126" s="141" t="s">
        <v>590</v>
      </c>
      <c r="U126" s="141" t="s">
        <v>590</v>
      </c>
    </row>
    <row r="127" spans="1:21" x14ac:dyDescent="0.2">
      <c r="A127">
        <f t="shared" si="5"/>
        <v>123</v>
      </c>
      <c r="B127" s="45" t="s">
        <v>110</v>
      </c>
      <c r="C127" s="148" t="str">
        <f t="shared" si="8"/>
        <v>1120-A Retired: File 1120</v>
      </c>
      <c r="D127" s="46">
        <f t="shared" si="9"/>
        <v>14</v>
      </c>
      <c r="E127" s="151" t="s">
        <v>702</v>
      </c>
      <c r="F127" s="148" t="s">
        <v>172</v>
      </c>
      <c r="G127" s="148" t="s">
        <v>172</v>
      </c>
      <c r="H127" s="148" t="s">
        <v>172</v>
      </c>
      <c r="I127" s="141" t="s">
        <v>590</v>
      </c>
      <c r="J127" s="141" t="s">
        <v>590</v>
      </c>
      <c r="K127" s="141" t="s">
        <v>590</v>
      </c>
      <c r="L127" s="141" t="s">
        <v>590</v>
      </c>
      <c r="M127" s="141" t="s">
        <v>590</v>
      </c>
      <c r="N127" s="141" t="s">
        <v>590</v>
      </c>
      <c r="O127" s="141" t="s">
        <v>590</v>
      </c>
      <c r="P127" s="141" t="s">
        <v>590</v>
      </c>
      <c r="Q127" s="141" t="s">
        <v>590</v>
      </c>
      <c r="R127" s="141" t="s">
        <v>590</v>
      </c>
      <c r="S127" s="141" t="s">
        <v>590</v>
      </c>
      <c r="T127" s="141" t="s">
        <v>590</v>
      </c>
      <c r="U127" s="141" t="s">
        <v>590</v>
      </c>
    </row>
    <row r="128" spans="1:21" x14ac:dyDescent="0.2">
      <c r="A128">
        <f t="shared" si="5"/>
        <v>124</v>
      </c>
      <c r="B128" s="45" t="s">
        <v>111</v>
      </c>
      <c r="C128" s="148" t="str">
        <f t="shared" si="8"/>
        <v>1120-A Retired: File 1120</v>
      </c>
      <c r="D128" s="46">
        <f t="shared" si="9"/>
        <v>15</v>
      </c>
      <c r="E128" s="151" t="s">
        <v>702</v>
      </c>
      <c r="F128" s="148" t="s">
        <v>173</v>
      </c>
      <c r="G128" s="148" t="s">
        <v>173</v>
      </c>
      <c r="H128" s="148" t="s">
        <v>173</v>
      </c>
      <c r="I128" s="141" t="s">
        <v>590</v>
      </c>
      <c r="J128" s="141" t="s">
        <v>590</v>
      </c>
      <c r="K128" s="141" t="s">
        <v>590</v>
      </c>
      <c r="L128" s="141" t="s">
        <v>590</v>
      </c>
      <c r="M128" s="141" t="s">
        <v>590</v>
      </c>
      <c r="N128" s="141" t="s">
        <v>590</v>
      </c>
      <c r="O128" s="141" t="s">
        <v>590</v>
      </c>
      <c r="P128" s="141" t="s">
        <v>590</v>
      </c>
      <c r="Q128" s="141" t="s">
        <v>590</v>
      </c>
      <c r="R128" s="141" t="s">
        <v>590</v>
      </c>
      <c r="S128" s="141" t="s">
        <v>590</v>
      </c>
      <c r="T128" s="141" t="s">
        <v>590</v>
      </c>
      <c r="U128" s="141" t="s">
        <v>590</v>
      </c>
    </row>
    <row r="129" spans="1:21" x14ac:dyDescent="0.2">
      <c r="A129">
        <f t="shared" si="5"/>
        <v>125</v>
      </c>
      <c r="B129" s="85" t="s">
        <v>1302</v>
      </c>
      <c r="C129" s="148" t="str">
        <f t="shared" si="8"/>
        <v>1120-A Retired: File 1120</v>
      </c>
      <c r="D129" s="46">
        <f t="shared" si="9"/>
        <v>16</v>
      </c>
      <c r="E129" s="151" t="s">
        <v>702</v>
      </c>
      <c r="F129" s="148" t="s">
        <v>180</v>
      </c>
      <c r="G129" s="148" t="s">
        <v>180</v>
      </c>
      <c r="H129" s="148" t="s">
        <v>180</v>
      </c>
      <c r="I129" s="141" t="s">
        <v>590</v>
      </c>
      <c r="J129" s="141" t="s">
        <v>590</v>
      </c>
      <c r="K129" s="141" t="s">
        <v>590</v>
      </c>
      <c r="L129" s="141" t="s">
        <v>590</v>
      </c>
      <c r="M129" s="141" t="s">
        <v>590</v>
      </c>
      <c r="N129" s="141" t="s">
        <v>590</v>
      </c>
      <c r="O129" s="141" t="s">
        <v>590</v>
      </c>
      <c r="P129" s="141" t="s">
        <v>590</v>
      </c>
      <c r="Q129" s="141" t="s">
        <v>590</v>
      </c>
      <c r="R129" s="141" t="s">
        <v>590</v>
      </c>
      <c r="S129" s="141" t="s">
        <v>590</v>
      </c>
      <c r="T129" s="141" t="s">
        <v>590</v>
      </c>
      <c r="U129" s="141" t="s">
        <v>590</v>
      </c>
    </row>
    <row r="130" spans="1:21" x14ac:dyDescent="0.2">
      <c r="A130">
        <f t="shared" si="5"/>
        <v>126</v>
      </c>
      <c r="B130" s="85" t="s">
        <v>1321</v>
      </c>
      <c r="C130" s="148" t="str">
        <f t="shared" si="8"/>
        <v>1120-A Retired: File 1120</v>
      </c>
      <c r="D130" s="46">
        <f t="shared" si="9"/>
        <v>17</v>
      </c>
      <c r="E130" s="151" t="s">
        <v>702</v>
      </c>
      <c r="F130" s="148" t="s">
        <v>181</v>
      </c>
      <c r="G130" s="148" t="s">
        <v>181</v>
      </c>
      <c r="H130" s="148" t="s">
        <v>181</v>
      </c>
      <c r="I130" s="141" t="s">
        <v>590</v>
      </c>
      <c r="J130" s="141" t="s">
        <v>590</v>
      </c>
      <c r="K130" s="141" t="s">
        <v>590</v>
      </c>
      <c r="L130" s="141" t="s">
        <v>590</v>
      </c>
      <c r="M130" s="141" t="s">
        <v>590</v>
      </c>
      <c r="N130" s="141" t="s">
        <v>590</v>
      </c>
      <c r="O130" s="141" t="s">
        <v>590</v>
      </c>
      <c r="P130" s="141" t="s">
        <v>590</v>
      </c>
      <c r="Q130" s="141" t="s">
        <v>590</v>
      </c>
      <c r="R130" s="141" t="s">
        <v>590</v>
      </c>
      <c r="S130" s="141" t="s">
        <v>590</v>
      </c>
      <c r="T130" s="141" t="s">
        <v>590</v>
      </c>
      <c r="U130" s="141" t="s">
        <v>590</v>
      </c>
    </row>
    <row r="131" spans="1:21" x14ac:dyDescent="0.2">
      <c r="A131">
        <f t="shared" si="5"/>
        <v>127</v>
      </c>
      <c r="B131" s="85" t="s">
        <v>1303</v>
      </c>
      <c r="C131" s="148" t="str">
        <f t="shared" si="8"/>
        <v>1120-A Retired: File 1120</v>
      </c>
      <c r="D131" s="46">
        <f t="shared" si="9"/>
        <v>18</v>
      </c>
      <c r="E131" s="151" t="s">
        <v>702</v>
      </c>
      <c r="F131" s="142" t="s">
        <v>1330</v>
      </c>
      <c r="G131" s="142" t="s">
        <v>1330</v>
      </c>
      <c r="H131" s="142" t="s">
        <v>1330</v>
      </c>
      <c r="I131" s="141" t="s">
        <v>590</v>
      </c>
      <c r="J131" s="141" t="s">
        <v>590</v>
      </c>
      <c r="K131" s="141" t="s">
        <v>590</v>
      </c>
      <c r="L131" s="141" t="s">
        <v>590</v>
      </c>
      <c r="M131" s="141" t="s">
        <v>590</v>
      </c>
      <c r="N131" s="141" t="s">
        <v>590</v>
      </c>
      <c r="O131" s="141" t="s">
        <v>590</v>
      </c>
      <c r="P131" s="141" t="s">
        <v>590</v>
      </c>
      <c r="Q131" s="141" t="s">
        <v>590</v>
      </c>
      <c r="R131" s="141" t="s">
        <v>590</v>
      </c>
      <c r="S131" s="141" t="s">
        <v>590</v>
      </c>
      <c r="T131" s="141" t="s">
        <v>590</v>
      </c>
      <c r="U131" s="141" t="s">
        <v>590</v>
      </c>
    </row>
    <row r="132" spans="1:21" x14ac:dyDescent="0.2">
      <c r="A132">
        <f t="shared" si="5"/>
        <v>128</v>
      </c>
      <c r="B132" s="85" t="s">
        <v>1306</v>
      </c>
      <c r="C132" s="148" t="str">
        <f t="shared" si="8"/>
        <v>1120-A Retired: File 1120</v>
      </c>
      <c r="D132" s="46">
        <f t="shared" si="9"/>
        <v>19</v>
      </c>
      <c r="E132" s="151" t="s">
        <v>702</v>
      </c>
      <c r="F132" s="142" t="s">
        <v>1330</v>
      </c>
      <c r="G132" s="142" t="s">
        <v>1330</v>
      </c>
      <c r="H132" s="142" t="s">
        <v>1330</v>
      </c>
      <c r="I132" s="141" t="s">
        <v>590</v>
      </c>
      <c r="J132" s="141" t="s">
        <v>590</v>
      </c>
      <c r="K132" s="141" t="s">
        <v>590</v>
      </c>
      <c r="L132" s="141" t="s">
        <v>590</v>
      </c>
      <c r="M132" s="141" t="s">
        <v>590</v>
      </c>
      <c r="N132" s="141" t="s">
        <v>590</v>
      </c>
      <c r="O132" s="141" t="s">
        <v>590</v>
      </c>
      <c r="P132" s="141" t="s">
        <v>590</v>
      </c>
      <c r="Q132" s="141" t="s">
        <v>590</v>
      </c>
      <c r="R132" s="141" t="s">
        <v>590</v>
      </c>
      <c r="S132" s="141" t="s">
        <v>590</v>
      </c>
      <c r="T132" s="141" t="s">
        <v>590</v>
      </c>
      <c r="U132" s="141" t="s">
        <v>590</v>
      </c>
    </row>
    <row r="133" spans="1:21" x14ac:dyDescent="0.2">
      <c r="A133">
        <f t="shared" si="5"/>
        <v>129</v>
      </c>
      <c r="B133" s="85" t="s">
        <v>1304</v>
      </c>
      <c r="C133" s="148" t="str">
        <f t="shared" si="8"/>
        <v>1120-A Retired: File 1120</v>
      </c>
      <c r="D133" s="46">
        <f t="shared" si="9"/>
        <v>20</v>
      </c>
      <c r="E133" s="151" t="s">
        <v>702</v>
      </c>
      <c r="F133" s="142" t="s">
        <v>1323</v>
      </c>
      <c r="G133" s="142" t="s">
        <v>1323</v>
      </c>
      <c r="H133" s="142" t="s">
        <v>1323</v>
      </c>
      <c r="I133" s="141" t="s">
        <v>590</v>
      </c>
      <c r="J133" s="141" t="s">
        <v>590</v>
      </c>
      <c r="K133" s="141" t="s">
        <v>590</v>
      </c>
      <c r="L133" s="141" t="s">
        <v>590</v>
      </c>
      <c r="M133" s="141" t="s">
        <v>590</v>
      </c>
      <c r="N133" s="141" t="s">
        <v>590</v>
      </c>
      <c r="O133" s="141" t="s">
        <v>590</v>
      </c>
      <c r="P133" s="141" t="s">
        <v>590</v>
      </c>
      <c r="Q133" s="141" t="s">
        <v>590</v>
      </c>
      <c r="R133" s="141" t="s">
        <v>590</v>
      </c>
      <c r="S133" s="141" t="s">
        <v>590</v>
      </c>
      <c r="T133" s="141" t="s">
        <v>590</v>
      </c>
      <c r="U133" s="141" t="s">
        <v>590</v>
      </c>
    </row>
    <row r="134" spans="1:21" x14ac:dyDescent="0.2">
      <c r="A134">
        <f t="shared" si="5"/>
        <v>130</v>
      </c>
      <c r="B134" s="85" t="s">
        <v>1305</v>
      </c>
      <c r="C134" s="148" t="str">
        <f t="shared" si="8"/>
        <v>1120-A Retired: File 1120</v>
      </c>
      <c r="D134" s="46">
        <f t="shared" si="9"/>
        <v>21</v>
      </c>
      <c r="E134" s="151" t="s">
        <v>702</v>
      </c>
      <c r="F134" s="142" t="s">
        <v>1324</v>
      </c>
      <c r="G134" s="142" t="s">
        <v>1324</v>
      </c>
      <c r="H134" s="142" t="s">
        <v>1324</v>
      </c>
      <c r="I134" s="141" t="s">
        <v>590</v>
      </c>
      <c r="J134" s="141" t="s">
        <v>590</v>
      </c>
      <c r="K134" s="141" t="s">
        <v>590</v>
      </c>
      <c r="L134" s="141" t="s">
        <v>590</v>
      </c>
      <c r="M134" s="141" t="s">
        <v>590</v>
      </c>
      <c r="N134" s="141" t="s">
        <v>590</v>
      </c>
      <c r="O134" s="141" t="s">
        <v>590</v>
      </c>
      <c r="P134" s="141" t="s">
        <v>590</v>
      </c>
      <c r="Q134" s="141" t="s">
        <v>590</v>
      </c>
      <c r="R134" s="141" t="s">
        <v>590</v>
      </c>
      <c r="S134" s="141" t="s">
        <v>590</v>
      </c>
      <c r="T134" s="141" t="s">
        <v>590</v>
      </c>
      <c r="U134" s="141" t="s">
        <v>590</v>
      </c>
    </row>
    <row r="135" spans="1:21" x14ac:dyDescent="0.2">
      <c r="A135">
        <f t="shared" si="5"/>
        <v>131</v>
      </c>
      <c r="B135" s="40" t="s">
        <v>23</v>
      </c>
      <c r="C135" s="148" t="str">
        <f t="shared" si="8"/>
        <v>1120-A Retired: File 1120</v>
      </c>
      <c r="D135" s="46">
        <f t="shared" si="9"/>
        <v>22</v>
      </c>
      <c r="E135" s="151" t="s">
        <v>702</v>
      </c>
      <c r="F135" s="138" t="s">
        <v>357</v>
      </c>
      <c r="G135" s="138" t="s">
        <v>357</v>
      </c>
      <c r="H135" s="138" t="s">
        <v>357</v>
      </c>
      <c r="I135" s="141" t="s">
        <v>590</v>
      </c>
      <c r="J135" s="141" t="s">
        <v>590</v>
      </c>
      <c r="K135" s="141" t="s">
        <v>590</v>
      </c>
      <c r="L135" s="141" t="s">
        <v>590</v>
      </c>
      <c r="M135" s="141" t="s">
        <v>590</v>
      </c>
      <c r="N135" s="141" t="s">
        <v>590</v>
      </c>
      <c r="O135" s="141" t="s">
        <v>590</v>
      </c>
      <c r="P135" s="141" t="s">
        <v>590</v>
      </c>
      <c r="Q135" s="141" t="s">
        <v>590</v>
      </c>
      <c r="R135" s="141" t="s">
        <v>590</v>
      </c>
      <c r="S135" s="141" t="s">
        <v>590</v>
      </c>
      <c r="T135" s="141" t="s">
        <v>590</v>
      </c>
      <c r="U135" s="141" t="s">
        <v>590</v>
      </c>
    </row>
    <row r="136" spans="1:21" x14ac:dyDescent="0.2">
      <c r="A136">
        <f t="shared" si="5"/>
        <v>132</v>
      </c>
      <c r="B136" s="40" t="s">
        <v>24</v>
      </c>
      <c r="C136" s="148" t="str">
        <f t="shared" si="8"/>
        <v>1120-A Retired: File 1120</v>
      </c>
      <c r="D136" s="46">
        <f t="shared" si="9"/>
        <v>23</v>
      </c>
      <c r="E136" s="151" t="s">
        <v>702</v>
      </c>
      <c r="F136" s="138" t="s">
        <v>755</v>
      </c>
      <c r="G136" s="138" t="s">
        <v>755</v>
      </c>
      <c r="H136" s="138" t="s">
        <v>755</v>
      </c>
      <c r="I136" s="141" t="s">
        <v>590</v>
      </c>
      <c r="J136" s="141" t="s">
        <v>590</v>
      </c>
      <c r="K136" s="141" t="s">
        <v>590</v>
      </c>
      <c r="L136" s="141" t="s">
        <v>590</v>
      </c>
      <c r="M136" s="141" t="s">
        <v>590</v>
      </c>
      <c r="N136" s="141" t="s">
        <v>590</v>
      </c>
      <c r="O136" s="141" t="s">
        <v>590</v>
      </c>
      <c r="P136" s="141" t="s">
        <v>590</v>
      </c>
      <c r="Q136" s="141" t="s">
        <v>590</v>
      </c>
      <c r="R136" s="141" t="s">
        <v>590</v>
      </c>
      <c r="S136" s="141" t="s">
        <v>590</v>
      </c>
      <c r="T136" s="141" t="s">
        <v>590</v>
      </c>
      <c r="U136" s="141" t="s">
        <v>590</v>
      </c>
    </row>
    <row r="137" spans="1:21" x14ac:dyDescent="0.2">
      <c r="A137">
        <f t="shared" si="5"/>
        <v>133</v>
      </c>
      <c r="B137" s="40" t="s">
        <v>25</v>
      </c>
      <c r="C137" s="148" t="str">
        <f t="shared" si="8"/>
        <v>1120-A Retired: File 1120</v>
      </c>
      <c r="D137" s="46">
        <f t="shared" si="9"/>
        <v>24</v>
      </c>
      <c r="E137" s="151" t="s">
        <v>702</v>
      </c>
      <c r="F137" s="138" t="s">
        <v>688</v>
      </c>
      <c r="G137" s="138" t="s">
        <v>688</v>
      </c>
      <c r="H137" s="138" t="s">
        <v>688</v>
      </c>
      <c r="I137" s="141" t="s">
        <v>590</v>
      </c>
      <c r="J137" s="141" t="s">
        <v>590</v>
      </c>
      <c r="K137" s="141" t="s">
        <v>590</v>
      </c>
      <c r="L137" s="141" t="s">
        <v>590</v>
      </c>
      <c r="M137" s="141" t="s">
        <v>590</v>
      </c>
      <c r="N137" s="141" t="s">
        <v>590</v>
      </c>
      <c r="O137" s="141" t="s">
        <v>590</v>
      </c>
      <c r="P137" s="141" t="s">
        <v>590</v>
      </c>
      <c r="Q137" s="141" t="s">
        <v>590</v>
      </c>
      <c r="R137" s="141" t="s">
        <v>590</v>
      </c>
      <c r="S137" s="141" t="s">
        <v>590</v>
      </c>
      <c r="T137" s="141" t="s">
        <v>590</v>
      </c>
      <c r="U137" s="141" t="s">
        <v>590</v>
      </c>
    </row>
    <row r="138" spans="1:21" x14ac:dyDescent="0.2">
      <c r="A138">
        <f t="shared" ref="A138:A201" si="10">+A137+1</f>
        <v>134</v>
      </c>
      <c r="B138" s="40" t="s">
        <v>26</v>
      </c>
      <c r="C138" s="148" t="str">
        <f t="shared" si="8"/>
        <v>1120-A Retired: File 1120</v>
      </c>
      <c r="D138" s="46">
        <f t="shared" si="9"/>
        <v>25</v>
      </c>
      <c r="E138" s="151" t="s">
        <v>702</v>
      </c>
      <c r="F138" s="138" t="s">
        <v>689</v>
      </c>
      <c r="G138" s="138" t="s">
        <v>689</v>
      </c>
      <c r="H138" s="138" t="s">
        <v>689</v>
      </c>
      <c r="I138" s="141" t="s">
        <v>590</v>
      </c>
      <c r="J138" s="141" t="s">
        <v>590</v>
      </c>
      <c r="K138" s="141" t="s">
        <v>590</v>
      </c>
      <c r="L138" s="141" t="s">
        <v>590</v>
      </c>
      <c r="M138" s="141" t="s">
        <v>590</v>
      </c>
      <c r="N138" s="141" t="s">
        <v>590</v>
      </c>
      <c r="O138" s="141" t="s">
        <v>590</v>
      </c>
      <c r="P138" s="141" t="s">
        <v>590</v>
      </c>
      <c r="Q138" s="141" t="s">
        <v>590</v>
      </c>
      <c r="R138" s="141" t="s">
        <v>590</v>
      </c>
      <c r="S138" s="141" t="s">
        <v>590</v>
      </c>
      <c r="T138" s="141" t="s">
        <v>590</v>
      </c>
      <c r="U138" s="141" t="s">
        <v>590</v>
      </c>
    </row>
    <row r="139" spans="1:21" x14ac:dyDescent="0.2">
      <c r="A139">
        <f t="shared" si="10"/>
        <v>135</v>
      </c>
      <c r="B139" s="40" t="s">
        <v>361</v>
      </c>
      <c r="C139" s="148" t="str">
        <f t="shared" si="8"/>
        <v>1120-A Retired: File 1120</v>
      </c>
      <c r="D139" s="46">
        <f t="shared" si="9"/>
        <v>26</v>
      </c>
      <c r="E139" s="151" t="s">
        <v>702</v>
      </c>
      <c r="F139" s="141" t="s">
        <v>362</v>
      </c>
      <c r="G139" s="141" t="s">
        <v>362</v>
      </c>
      <c r="H139" s="141" t="s">
        <v>362</v>
      </c>
      <c r="I139" s="141" t="s">
        <v>590</v>
      </c>
      <c r="J139" s="141" t="s">
        <v>590</v>
      </c>
      <c r="K139" s="141" t="s">
        <v>590</v>
      </c>
      <c r="L139" s="141" t="s">
        <v>590</v>
      </c>
      <c r="M139" s="141" t="s">
        <v>590</v>
      </c>
      <c r="N139" s="141" t="s">
        <v>590</v>
      </c>
      <c r="O139" s="141" t="s">
        <v>590</v>
      </c>
      <c r="P139" s="141" t="s">
        <v>590</v>
      </c>
      <c r="Q139" s="141" t="s">
        <v>590</v>
      </c>
      <c r="R139" s="141" t="s">
        <v>590</v>
      </c>
      <c r="S139" s="141" t="s">
        <v>590</v>
      </c>
      <c r="T139" s="141" t="s">
        <v>590</v>
      </c>
      <c r="U139" s="141" t="s">
        <v>590</v>
      </c>
    </row>
    <row r="140" spans="1:21" x14ac:dyDescent="0.2">
      <c r="A140">
        <f t="shared" si="10"/>
        <v>136</v>
      </c>
      <c r="B140" s="40" t="s">
        <v>654</v>
      </c>
      <c r="C140" s="148" t="str">
        <f t="shared" si="8"/>
        <v>1120-A Retired: File 1120</v>
      </c>
      <c r="D140" s="46">
        <f t="shared" si="9"/>
        <v>27</v>
      </c>
      <c r="E140" s="151" t="s">
        <v>702</v>
      </c>
      <c r="F140" s="138" t="s">
        <v>75</v>
      </c>
      <c r="G140" s="138" t="s">
        <v>75</v>
      </c>
      <c r="H140" s="138" t="s">
        <v>75</v>
      </c>
      <c r="I140" s="141" t="s">
        <v>590</v>
      </c>
      <c r="J140" s="141" t="s">
        <v>590</v>
      </c>
      <c r="K140" s="141" t="s">
        <v>590</v>
      </c>
      <c r="L140" s="141" t="s">
        <v>590</v>
      </c>
      <c r="M140" s="141" t="s">
        <v>590</v>
      </c>
      <c r="N140" s="141" t="s">
        <v>590</v>
      </c>
      <c r="O140" s="141" t="s">
        <v>590</v>
      </c>
      <c r="P140" s="141" t="s">
        <v>590</v>
      </c>
      <c r="Q140" s="141" t="s">
        <v>590</v>
      </c>
      <c r="R140" s="141" t="s">
        <v>590</v>
      </c>
      <c r="S140" s="141" t="s">
        <v>590</v>
      </c>
      <c r="T140" s="141" t="s">
        <v>590</v>
      </c>
      <c r="U140" s="141" t="s">
        <v>590</v>
      </c>
    </row>
    <row r="141" spans="1:21" x14ac:dyDescent="0.2">
      <c r="A141">
        <f t="shared" si="10"/>
        <v>137</v>
      </c>
      <c r="B141" s="47" t="s">
        <v>28</v>
      </c>
      <c r="C141" s="148" t="str">
        <f t="shared" si="8"/>
        <v>1120-A Retired: File 1120</v>
      </c>
      <c r="D141" s="46">
        <f t="shared" si="9"/>
        <v>28</v>
      </c>
      <c r="E141" s="151" t="s">
        <v>702</v>
      </c>
      <c r="F141" s="138" t="s">
        <v>683</v>
      </c>
      <c r="G141" s="138" t="s">
        <v>683</v>
      </c>
      <c r="H141" s="138" t="s">
        <v>683</v>
      </c>
      <c r="I141" s="141" t="s">
        <v>590</v>
      </c>
      <c r="J141" s="141" t="s">
        <v>590</v>
      </c>
      <c r="K141" s="141" t="s">
        <v>590</v>
      </c>
      <c r="L141" s="141" t="s">
        <v>590</v>
      </c>
      <c r="M141" s="141" t="s">
        <v>590</v>
      </c>
      <c r="N141" s="141" t="s">
        <v>590</v>
      </c>
      <c r="O141" s="141" t="s">
        <v>590</v>
      </c>
      <c r="P141" s="141" t="s">
        <v>590</v>
      </c>
      <c r="Q141" s="141" t="s">
        <v>590</v>
      </c>
      <c r="R141" s="141" t="s">
        <v>590</v>
      </c>
      <c r="S141" s="141" t="s">
        <v>590</v>
      </c>
      <c r="T141" s="141" t="s">
        <v>590</v>
      </c>
      <c r="U141" s="141" t="s">
        <v>590</v>
      </c>
    </row>
    <row r="142" spans="1:21" x14ac:dyDescent="0.2">
      <c r="A142">
        <f t="shared" si="10"/>
        <v>138</v>
      </c>
      <c r="B142" s="47" t="s">
        <v>27</v>
      </c>
      <c r="C142" s="148" t="str">
        <f t="shared" si="8"/>
        <v>1120-A Retired: File 1120</v>
      </c>
      <c r="D142" s="46">
        <f t="shared" si="9"/>
        <v>29</v>
      </c>
      <c r="E142" s="151" t="s">
        <v>702</v>
      </c>
      <c r="F142" s="138" t="s">
        <v>683</v>
      </c>
      <c r="G142" s="138" t="s">
        <v>683</v>
      </c>
      <c r="H142" s="138" t="s">
        <v>683</v>
      </c>
      <c r="I142" s="141" t="s">
        <v>590</v>
      </c>
      <c r="J142" s="141" t="s">
        <v>590</v>
      </c>
      <c r="K142" s="141" t="s">
        <v>590</v>
      </c>
      <c r="L142" s="141" t="s">
        <v>590</v>
      </c>
      <c r="M142" s="141" t="s">
        <v>590</v>
      </c>
      <c r="N142" s="141" t="s">
        <v>590</v>
      </c>
      <c r="O142" s="141" t="s">
        <v>590</v>
      </c>
      <c r="P142" s="141" t="s">
        <v>590</v>
      </c>
      <c r="Q142" s="141" t="s">
        <v>590</v>
      </c>
      <c r="R142" s="141" t="s">
        <v>590</v>
      </c>
      <c r="S142" s="141" t="s">
        <v>590</v>
      </c>
      <c r="T142" s="141" t="s">
        <v>590</v>
      </c>
      <c r="U142" s="141" t="s">
        <v>590</v>
      </c>
    </row>
    <row r="143" spans="1:21" x14ac:dyDescent="0.2">
      <c r="A143">
        <f t="shared" si="10"/>
        <v>139</v>
      </c>
      <c r="B143" s="47" t="s">
        <v>757</v>
      </c>
      <c r="C143" s="148" t="str">
        <f t="shared" si="8"/>
        <v>1120-A Retired: File 1120</v>
      </c>
      <c r="D143" s="46">
        <f t="shared" si="9"/>
        <v>30</v>
      </c>
      <c r="E143" s="151" t="s">
        <v>702</v>
      </c>
      <c r="F143" s="138" t="s">
        <v>683</v>
      </c>
      <c r="G143" s="138" t="s">
        <v>683</v>
      </c>
      <c r="H143" s="138" t="s">
        <v>683</v>
      </c>
      <c r="I143" s="141" t="s">
        <v>590</v>
      </c>
      <c r="J143" s="141" t="s">
        <v>590</v>
      </c>
      <c r="K143" s="141" t="s">
        <v>590</v>
      </c>
      <c r="L143" s="141" t="s">
        <v>590</v>
      </c>
      <c r="M143" s="141" t="s">
        <v>590</v>
      </c>
      <c r="N143" s="141" t="s">
        <v>590</v>
      </c>
      <c r="O143" s="141" t="s">
        <v>590</v>
      </c>
      <c r="P143" s="141" t="s">
        <v>590</v>
      </c>
      <c r="Q143" s="141" t="s">
        <v>590</v>
      </c>
      <c r="R143" s="141" t="s">
        <v>590</v>
      </c>
      <c r="S143" s="141" t="s">
        <v>590</v>
      </c>
      <c r="T143" s="141" t="s">
        <v>590</v>
      </c>
      <c r="U143" s="141" t="s">
        <v>590</v>
      </c>
    </row>
    <row r="144" spans="1:21" x14ac:dyDescent="0.2">
      <c r="A144">
        <f t="shared" si="10"/>
        <v>140</v>
      </c>
      <c r="B144" s="40" t="s">
        <v>678</v>
      </c>
      <c r="C144" s="148" t="str">
        <f t="shared" si="8"/>
        <v>1120-A Retired: File 1120</v>
      </c>
      <c r="D144" s="46">
        <f t="shared" si="9"/>
        <v>31</v>
      </c>
      <c r="E144" s="151" t="s">
        <v>702</v>
      </c>
      <c r="F144" s="138" t="s">
        <v>12</v>
      </c>
      <c r="G144" s="138" t="s">
        <v>12</v>
      </c>
      <c r="H144" s="138" t="s">
        <v>12</v>
      </c>
      <c r="I144" s="141" t="s">
        <v>590</v>
      </c>
      <c r="J144" s="141" t="s">
        <v>590</v>
      </c>
      <c r="K144" s="141" t="s">
        <v>590</v>
      </c>
      <c r="L144" s="141" t="s">
        <v>590</v>
      </c>
      <c r="M144" s="141" t="s">
        <v>590</v>
      </c>
      <c r="N144" s="141" t="s">
        <v>590</v>
      </c>
      <c r="O144" s="141" t="s">
        <v>590</v>
      </c>
      <c r="P144" s="141" t="s">
        <v>590</v>
      </c>
      <c r="Q144" s="141" t="s">
        <v>590</v>
      </c>
      <c r="R144" s="141" t="s">
        <v>590</v>
      </c>
      <c r="S144" s="141" t="s">
        <v>590</v>
      </c>
      <c r="T144" s="141" t="s">
        <v>590</v>
      </c>
      <c r="U144" s="141" t="s">
        <v>590</v>
      </c>
    </row>
    <row r="145" spans="1:21" x14ac:dyDescent="0.2">
      <c r="A145">
        <f t="shared" si="10"/>
        <v>141</v>
      </c>
      <c r="B145" s="41" t="s">
        <v>679</v>
      </c>
      <c r="C145" s="148" t="str">
        <f t="shared" si="8"/>
        <v>1120-A Retired: File 1120</v>
      </c>
      <c r="D145" s="46">
        <f t="shared" si="9"/>
        <v>32</v>
      </c>
      <c r="E145" s="151" t="s">
        <v>702</v>
      </c>
      <c r="F145" s="138" t="s">
        <v>13</v>
      </c>
      <c r="G145" s="138" t="s">
        <v>13</v>
      </c>
      <c r="H145" s="138" t="s">
        <v>13</v>
      </c>
      <c r="I145" s="141" t="s">
        <v>590</v>
      </c>
      <c r="J145" s="141" t="s">
        <v>590</v>
      </c>
      <c r="K145" s="141" t="s">
        <v>590</v>
      </c>
      <c r="L145" s="141" t="s">
        <v>590</v>
      </c>
      <c r="M145" s="141" t="s">
        <v>590</v>
      </c>
      <c r="N145" s="141" t="s">
        <v>590</v>
      </c>
      <c r="O145" s="141" t="s">
        <v>590</v>
      </c>
      <c r="P145" s="141" t="s">
        <v>590</v>
      </c>
      <c r="Q145" s="141" t="s">
        <v>590</v>
      </c>
      <c r="R145" s="141" t="s">
        <v>590</v>
      </c>
      <c r="S145" s="141" t="s">
        <v>590</v>
      </c>
      <c r="T145" s="141" t="s">
        <v>590</v>
      </c>
      <c r="U145" s="141" t="s">
        <v>590</v>
      </c>
    </row>
    <row r="146" spans="1:21" x14ac:dyDescent="0.2">
      <c r="A146">
        <f t="shared" si="10"/>
        <v>142</v>
      </c>
      <c r="B146" s="41" t="s">
        <v>680</v>
      </c>
      <c r="C146" s="147"/>
      <c r="D146" s="46">
        <f t="shared" si="9"/>
        <v>33</v>
      </c>
      <c r="E146" s="139"/>
      <c r="F146" s="139"/>
      <c r="G146" s="139"/>
      <c r="H146" s="139"/>
      <c r="I146" s="139"/>
      <c r="J146" s="139"/>
      <c r="K146" s="139"/>
      <c r="L146" s="139"/>
      <c r="M146" s="139"/>
      <c r="N146" s="139"/>
      <c r="O146" s="139"/>
      <c r="P146" s="139"/>
      <c r="Q146" s="139"/>
      <c r="R146" s="139"/>
      <c r="S146" s="139"/>
      <c r="T146" s="733"/>
      <c r="U146" s="748"/>
    </row>
    <row r="147" spans="1:21" x14ac:dyDescent="0.2">
      <c r="A147">
        <f t="shared" si="10"/>
        <v>143</v>
      </c>
      <c r="B147" s="41" t="s">
        <v>105</v>
      </c>
      <c r="C147" s="148" t="str">
        <f>HLOOKUP($C$2,$E$5:$T$255,$A147,FALSE)</f>
        <v>1120-A Retired: File 1120</v>
      </c>
      <c r="D147" s="46">
        <f t="shared" si="9"/>
        <v>34</v>
      </c>
      <c r="E147" s="151" t="s">
        <v>702</v>
      </c>
      <c r="F147" s="138" t="s">
        <v>106</v>
      </c>
      <c r="G147" s="138" t="s">
        <v>106</v>
      </c>
      <c r="H147" s="138" t="s">
        <v>106</v>
      </c>
      <c r="I147" s="141" t="s">
        <v>590</v>
      </c>
      <c r="J147" s="141" t="s">
        <v>590</v>
      </c>
      <c r="K147" s="141" t="s">
        <v>590</v>
      </c>
      <c r="L147" s="141" t="s">
        <v>590</v>
      </c>
      <c r="M147" s="141" t="s">
        <v>590</v>
      </c>
      <c r="N147" s="141" t="s">
        <v>590</v>
      </c>
      <c r="O147" s="141" t="s">
        <v>590</v>
      </c>
      <c r="P147" s="141" t="s">
        <v>590</v>
      </c>
      <c r="Q147" s="141" t="s">
        <v>590</v>
      </c>
      <c r="R147" s="141" t="s">
        <v>590</v>
      </c>
      <c r="S147" s="141" t="s">
        <v>590</v>
      </c>
      <c r="T147" s="141" t="s">
        <v>590</v>
      </c>
      <c r="U147" s="141" t="s">
        <v>590</v>
      </c>
    </row>
    <row r="148" spans="1:21" x14ac:dyDescent="0.2">
      <c r="A148">
        <f t="shared" si="10"/>
        <v>144</v>
      </c>
      <c r="G148" s="124"/>
      <c r="M148" s="152"/>
      <c r="N148" s="152"/>
      <c r="O148" s="152"/>
      <c r="P148" s="152"/>
      <c r="Q148" s="152"/>
      <c r="R148" s="152"/>
      <c r="S148" s="152"/>
      <c r="T148" s="152"/>
      <c r="U148" s="152"/>
    </row>
    <row r="149" spans="1:21" x14ac:dyDescent="0.2">
      <c r="A149">
        <f t="shared" si="10"/>
        <v>145</v>
      </c>
      <c r="B149" s="150" t="s">
        <v>76</v>
      </c>
      <c r="G149" s="124"/>
      <c r="M149" s="152"/>
      <c r="N149" s="152"/>
      <c r="O149" s="152"/>
      <c r="P149" s="152"/>
      <c r="Q149" s="152"/>
      <c r="R149" s="152"/>
      <c r="S149" s="152"/>
      <c r="T149" s="152"/>
      <c r="U149" s="152"/>
    </row>
    <row r="150" spans="1:21" x14ac:dyDescent="0.2">
      <c r="A150">
        <f t="shared" si="10"/>
        <v>146</v>
      </c>
      <c r="B150" s="45" t="s">
        <v>22</v>
      </c>
      <c r="C150" s="148" t="str">
        <f t="shared" ref="C150:C181" si="11">HLOOKUP($C$2,$E$5:$T$255,$A150,FALSE)</f>
        <v>Sched K, Ln 18</v>
      </c>
      <c r="D150" s="46">
        <v>1</v>
      </c>
      <c r="E150" s="151" t="s">
        <v>702</v>
      </c>
      <c r="F150" s="141" t="s">
        <v>77</v>
      </c>
      <c r="G150" s="141" t="s">
        <v>77</v>
      </c>
      <c r="H150" s="141" t="s">
        <v>707</v>
      </c>
      <c r="I150" s="141" t="s">
        <v>707</v>
      </c>
      <c r="J150" s="141" t="s">
        <v>707</v>
      </c>
      <c r="K150" s="141" t="s">
        <v>707</v>
      </c>
      <c r="L150" s="141" t="s">
        <v>707</v>
      </c>
      <c r="M150" s="141" t="s">
        <v>707</v>
      </c>
      <c r="N150" s="141" t="s">
        <v>707</v>
      </c>
      <c r="O150" s="613" t="s">
        <v>707</v>
      </c>
      <c r="P150" s="683" t="s">
        <v>707</v>
      </c>
      <c r="Q150" s="697" t="s">
        <v>707</v>
      </c>
      <c r="R150" s="141" t="s">
        <v>707</v>
      </c>
      <c r="S150" s="141" t="s">
        <v>707</v>
      </c>
      <c r="T150" s="141" t="s">
        <v>707</v>
      </c>
      <c r="U150" s="141" t="s">
        <v>707</v>
      </c>
    </row>
    <row r="151" spans="1:21" x14ac:dyDescent="0.2">
      <c r="A151">
        <f t="shared" si="10"/>
        <v>147</v>
      </c>
      <c r="B151" s="45" t="s">
        <v>1261</v>
      </c>
      <c r="C151" s="148" t="str">
        <f t="shared" si="11"/>
        <v>1120S Pg 1, Ln 1a &amp; 8825 Ln 2</v>
      </c>
      <c r="D151" s="46">
        <f t="shared" ref="D151:D183" si="12">+D150+1</f>
        <v>2</v>
      </c>
      <c r="E151" s="151" t="s">
        <v>702</v>
      </c>
      <c r="F151" s="138" t="s">
        <v>1265</v>
      </c>
      <c r="G151" s="138" t="s">
        <v>1265</v>
      </c>
      <c r="H151" s="138" t="s">
        <v>1265</v>
      </c>
      <c r="I151" s="141" t="s">
        <v>1169</v>
      </c>
      <c r="J151" s="138" t="s">
        <v>1169</v>
      </c>
      <c r="K151" s="138" t="s">
        <v>1169</v>
      </c>
      <c r="L151" s="138" t="s">
        <v>1169</v>
      </c>
      <c r="M151" s="138" t="s">
        <v>272</v>
      </c>
      <c r="N151" s="138" t="s">
        <v>1169</v>
      </c>
      <c r="O151" s="613" t="s">
        <v>1169</v>
      </c>
      <c r="P151" s="683" t="s">
        <v>1169</v>
      </c>
      <c r="Q151" s="697" t="s">
        <v>1169</v>
      </c>
      <c r="R151" s="138" t="s">
        <v>1169</v>
      </c>
      <c r="S151" s="138" t="s">
        <v>1169</v>
      </c>
      <c r="T151" s="732" t="s">
        <v>1169</v>
      </c>
      <c r="U151" s="747" t="s">
        <v>1169</v>
      </c>
    </row>
    <row r="152" spans="1:21" x14ac:dyDescent="0.2">
      <c r="A152">
        <f t="shared" si="10"/>
        <v>148</v>
      </c>
      <c r="B152" s="41" t="s">
        <v>9</v>
      </c>
      <c r="C152" s="148" t="str">
        <f t="shared" si="11"/>
        <v>Sched K, Ln 4</v>
      </c>
      <c r="D152" s="46">
        <f t="shared" si="12"/>
        <v>3</v>
      </c>
      <c r="E152" s="151" t="s">
        <v>702</v>
      </c>
      <c r="F152" s="138" t="s">
        <v>8</v>
      </c>
      <c r="G152" s="138" t="s">
        <v>8</v>
      </c>
      <c r="H152" s="138" t="s">
        <v>8</v>
      </c>
      <c r="I152" s="141" t="s">
        <v>8</v>
      </c>
      <c r="J152" s="138" t="s">
        <v>8</v>
      </c>
      <c r="K152" s="138" t="s">
        <v>8</v>
      </c>
      <c r="L152" s="138" t="s">
        <v>8</v>
      </c>
      <c r="M152" s="138" t="s">
        <v>8</v>
      </c>
      <c r="N152" s="138" t="s">
        <v>8</v>
      </c>
      <c r="O152" s="613" t="s">
        <v>8</v>
      </c>
      <c r="P152" s="683" t="s">
        <v>8</v>
      </c>
      <c r="Q152" s="697" t="s">
        <v>8</v>
      </c>
      <c r="R152" s="138" t="s">
        <v>8</v>
      </c>
      <c r="S152" s="138" t="s">
        <v>8</v>
      </c>
      <c r="T152" s="732" t="s">
        <v>8</v>
      </c>
      <c r="U152" s="747" t="s">
        <v>8</v>
      </c>
    </row>
    <row r="153" spans="1:21" x14ac:dyDescent="0.2">
      <c r="A153">
        <f t="shared" si="10"/>
        <v>149</v>
      </c>
      <c r="B153" s="41" t="s">
        <v>10</v>
      </c>
      <c r="C153" s="148" t="str">
        <f t="shared" si="11"/>
        <v>Sched K, Ln 5a</v>
      </c>
      <c r="D153" s="46">
        <f t="shared" si="12"/>
        <v>4</v>
      </c>
      <c r="E153" s="151" t="s">
        <v>702</v>
      </c>
      <c r="F153" s="138" t="s">
        <v>78</v>
      </c>
      <c r="G153" s="138" t="s">
        <v>78</v>
      </c>
      <c r="H153" s="138" t="s">
        <v>78</v>
      </c>
      <c r="I153" s="141" t="s">
        <v>78</v>
      </c>
      <c r="J153" s="138" t="s">
        <v>78</v>
      </c>
      <c r="K153" s="138" t="s">
        <v>78</v>
      </c>
      <c r="L153" s="138" t="s">
        <v>78</v>
      </c>
      <c r="M153" s="138" t="s">
        <v>78</v>
      </c>
      <c r="N153" s="138" t="s">
        <v>78</v>
      </c>
      <c r="O153" s="613" t="s">
        <v>78</v>
      </c>
      <c r="P153" s="683" t="s">
        <v>78</v>
      </c>
      <c r="Q153" s="697" t="s">
        <v>78</v>
      </c>
      <c r="R153" s="138" t="s">
        <v>78</v>
      </c>
      <c r="S153" s="138" t="s">
        <v>78</v>
      </c>
      <c r="T153" s="732" t="s">
        <v>78</v>
      </c>
      <c r="U153" s="747" t="s">
        <v>78</v>
      </c>
    </row>
    <row r="154" spans="1:21" x14ac:dyDescent="0.2">
      <c r="A154">
        <f t="shared" si="10"/>
        <v>150</v>
      </c>
      <c r="B154" s="40" t="s">
        <v>11</v>
      </c>
      <c r="C154" s="148" t="str">
        <f t="shared" si="11"/>
        <v>Sched K, Ln 6</v>
      </c>
      <c r="D154" s="46">
        <f t="shared" si="12"/>
        <v>5</v>
      </c>
      <c r="E154" s="151" t="s">
        <v>702</v>
      </c>
      <c r="F154" s="138" t="s">
        <v>79</v>
      </c>
      <c r="G154" s="138" t="s">
        <v>79</v>
      </c>
      <c r="H154" s="138" t="s">
        <v>79</v>
      </c>
      <c r="I154" s="141" t="s">
        <v>79</v>
      </c>
      <c r="J154" s="138" t="s">
        <v>79</v>
      </c>
      <c r="K154" s="138" t="s">
        <v>79</v>
      </c>
      <c r="L154" s="138" t="s">
        <v>79</v>
      </c>
      <c r="M154" s="138" t="s">
        <v>79</v>
      </c>
      <c r="N154" s="138" t="s">
        <v>79</v>
      </c>
      <c r="O154" s="613" t="s">
        <v>79</v>
      </c>
      <c r="P154" s="683" t="s">
        <v>79</v>
      </c>
      <c r="Q154" s="697" t="s">
        <v>79</v>
      </c>
      <c r="R154" s="138" t="s">
        <v>79</v>
      </c>
      <c r="S154" s="138" t="s">
        <v>79</v>
      </c>
      <c r="T154" s="732" t="s">
        <v>79</v>
      </c>
      <c r="U154" s="747" t="s">
        <v>79</v>
      </c>
    </row>
    <row r="155" spans="1:21" x14ac:dyDescent="0.2">
      <c r="A155">
        <f t="shared" si="10"/>
        <v>151</v>
      </c>
      <c r="B155" s="40" t="s">
        <v>112</v>
      </c>
      <c r="C155" s="148" t="str">
        <f t="shared" si="11"/>
        <v>Part of 1120S, Pg 1, Ln 5</v>
      </c>
      <c r="D155" s="46">
        <f t="shared" si="12"/>
        <v>6</v>
      </c>
      <c r="E155" s="151" t="s">
        <v>702</v>
      </c>
      <c r="F155" s="142" t="s">
        <v>116</v>
      </c>
      <c r="G155" s="142" t="s">
        <v>116</v>
      </c>
      <c r="H155" s="142" t="s">
        <v>116</v>
      </c>
      <c r="I155" s="349" t="s">
        <v>116</v>
      </c>
      <c r="J155" s="142" t="s">
        <v>116</v>
      </c>
      <c r="K155" s="142" t="s">
        <v>116</v>
      </c>
      <c r="L155" s="142" t="s">
        <v>116</v>
      </c>
      <c r="M155" s="142" t="s">
        <v>116</v>
      </c>
      <c r="N155" s="142" t="s">
        <v>116</v>
      </c>
      <c r="O155" s="614" t="s">
        <v>116</v>
      </c>
      <c r="P155" s="682" t="s">
        <v>116</v>
      </c>
      <c r="Q155" s="696" t="s">
        <v>116</v>
      </c>
      <c r="R155" s="142" t="s">
        <v>116</v>
      </c>
      <c r="S155" s="142" t="s">
        <v>116</v>
      </c>
      <c r="T155" s="142" t="s">
        <v>116</v>
      </c>
      <c r="U155" s="142" t="s">
        <v>116</v>
      </c>
    </row>
    <row r="156" spans="1:21" x14ac:dyDescent="0.2">
      <c r="A156">
        <f t="shared" si="10"/>
        <v>152</v>
      </c>
      <c r="B156" s="40" t="s">
        <v>1201</v>
      </c>
      <c r="C156" s="148" t="str">
        <f t="shared" si="11"/>
        <v>Form 1120S, Page 1, Ln 7</v>
      </c>
      <c r="D156" s="46">
        <f t="shared" si="12"/>
        <v>7</v>
      </c>
      <c r="E156" s="151" t="s">
        <v>702</v>
      </c>
      <c r="F156" s="138" t="s">
        <v>1212</v>
      </c>
      <c r="G156" s="138" t="s">
        <v>1212</v>
      </c>
      <c r="H156" s="138" t="s">
        <v>1212</v>
      </c>
      <c r="I156" s="141" t="s">
        <v>1212</v>
      </c>
      <c r="J156" s="138" t="s">
        <v>1212</v>
      </c>
      <c r="K156" s="138" t="s">
        <v>1212</v>
      </c>
      <c r="L156" s="138" t="s">
        <v>1212</v>
      </c>
      <c r="M156" s="138" t="s">
        <v>1212</v>
      </c>
      <c r="N156" s="138" t="s">
        <v>1212</v>
      </c>
      <c r="O156" s="613" t="s">
        <v>1212</v>
      </c>
      <c r="P156" s="683" t="s">
        <v>1212</v>
      </c>
      <c r="Q156" s="697" t="s">
        <v>1212</v>
      </c>
      <c r="R156" s="138" t="s">
        <v>1212</v>
      </c>
      <c r="S156" s="138" t="s">
        <v>1212</v>
      </c>
      <c r="T156" s="732" t="s">
        <v>1212</v>
      </c>
      <c r="U156" s="747" t="s">
        <v>1212</v>
      </c>
    </row>
    <row r="157" spans="1:21" x14ac:dyDescent="0.2">
      <c r="A157">
        <f t="shared" si="10"/>
        <v>153</v>
      </c>
      <c r="B157" s="40" t="s">
        <v>1202</v>
      </c>
      <c r="C157" s="148" t="str">
        <f t="shared" si="11"/>
        <v>Form 1120S, Page 1, Ln 8</v>
      </c>
      <c r="D157" s="46">
        <f t="shared" si="12"/>
        <v>8</v>
      </c>
      <c r="E157" s="151" t="s">
        <v>702</v>
      </c>
      <c r="F157" s="138" t="s">
        <v>1213</v>
      </c>
      <c r="G157" s="138" t="s">
        <v>1213</v>
      </c>
      <c r="H157" s="138" t="s">
        <v>1213</v>
      </c>
      <c r="I157" s="141" t="s">
        <v>1213</v>
      </c>
      <c r="J157" s="138" t="s">
        <v>1213</v>
      </c>
      <c r="K157" s="138" t="s">
        <v>1213</v>
      </c>
      <c r="L157" s="138" t="s">
        <v>1213</v>
      </c>
      <c r="M157" s="138" t="s">
        <v>1213</v>
      </c>
      <c r="N157" s="138" t="s">
        <v>1213</v>
      </c>
      <c r="O157" s="613" t="s">
        <v>1213</v>
      </c>
      <c r="P157" s="683" t="s">
        <v>1213</v>
      </c>
      <c r="Q157" s="697" t="s">
        <v>1213</v>
      </c>
      <c r="R157" s="138" t="s">
        <v>1213</v>
      </c>
      <c r="S157" s="138" t="s">
        <v>1213</v>
      </c>
      <c r="T157" s="732" t="s">
        <v>1213</v>
      </c>
      <c r="U157" s="747" t="s">
        <v>1213</v>
      </c>
    </row>
    <row r="158" spans="1:21" x14ac:dyDescent="0.2">
      <c r="A158">
        <f t="shared" si="10"/>
        <v>154</v>
      </c>
      <c r="B158" s="40" t="s">
        <v>1203</v>
      </c>
      <c r="C158" s="148" t="str">
        <f t="shared" si="11"/>
        <v>1125-A, Pg 1, Ln 3</v>
      </c>
      <c r="D158" s="46">
        <f t="shared" si="12"/>
        <v>9</v>
      </c>
      <c r="E158" s="151" t="s">
        <v>702</v>
      </c>
      <c r="F158" s="138" t="s">
        <v>1206</v>
      </c>
      <c r="G158" s="138" t="s">
        <v>1206</v>
      </c>
      <c r="H158" s="138" t="s">
        <v>1206</v>
      </c>
      <c r="I158" s="141" t="s">
        <v>1206</v>
      </c>
      <c r="J158" s="138" t="s">
        <v>1206</v>
      </c>
      <c r="K158" s="138" t="s">
        <v>1206</v>
      </c>
      <c r="L158" s="138" t="s">
        <v>1206</v>
      </c>
      <c r="M158" s="141" t="s">
        <v>267</v>
      </c>
      <c r="N158" s="141" t="s">
        <v>267</v>
      </c>
      <c r="O158" s="613" t="s">
        <v>267</v>
      </c>
      <c r="P158" s="683" t="s">
        <v>267</v>
      </c>
      <c r="Q158" s="697" t="s">
        <v>267</v>
      </c>
      <c r="R158" s="141" t="s">
        <v>267</v>
      </c>
      <c r="S158" s="141" t="s">
        <v>267</v>
      </c>
      <c r="T158" s="141" t="s">
        <v>267</v>
      </c>
      <c r="U158" s="141" t="s">
        <v>267</v>
      </c>
    </row>
    <row r="159" spans="1:21" x14ac:dyDescent="0.2">
      <c r="A159">
        <f t="shared" si="10"/>
        <v>155</v>
      </c>
      <c r="B159" s="40" t="s">
        <v>1204</v>
      </c>
      <c r="C159" s="148" t="str">
        <f t="shared" si="11"/>
        <v>Various</v>
      </c>
      <c r="D159" s="46">
        <f t="shared" si="12"/>
        <v>10</v>
      </c>
      <c r="E159" s="151" t="s">
        <v>702</v>
      </c>
      <c r="F159" s="138" t="s">
        <v>752</v>
      </c>
      <c r="G159" s="138" t="s">
        <v>752</v>
      </c>
      <c r="H159" s="138" t="s">
        <v>752</v>
      </c>
      <c r="I159" s="138" t="s">
        <v>752</v>
      </c>
      <c r="J159" s="138" t="s">
        <v>752</v>
      </c>
      <c r="K159" s="138" t="s">
        <v>752</v>
      </c>
      <c r="L159" s="138" t="s">
        <v>752</v>
      </c>
      <c r="M159" s="138" t="s">
        <v>752</v>
      </c>
      <c r="N159" s="138" t="s">
        <v>752</v>
      </c>
      <c r="O159" s="613" t="s">
        <v>752</v>
      </c>
      <c r="P159" s="683" t="s">
        <v>752</v>
      </c>
      <c r="Q159" s="138" t="s">
        <v>752</v>
      </c>
      <c r="R159" s="138" t="s">
        <v>752</v>
      </c>
      <c r="S159" s="138" t="s">
        <v>752</v>
      </c>
      <c r="T159" s="732" t="s">
        <v>752</v>
      </c>
      <c r="U159" s="747" t="s">
        <v>752</v>
      </c>
    </row>
    <row r="160" spans="1:21" x14ac:dyDescent="0.2">
      <c r="A160">
        <f t="shared" si="10"/>
        <v>156</v>
      </c>
      <c r="B160" s="40" t="s">
        <v>1322</v>
      </c>
      <c r="C160" s="148" t="str">
        <f t="shared" si="11"/>
        <v>Part of 1120S, Pg 1, Ln 11</v>
      </c>
      <c r="D160" s="46">
        <f t="shared" si="12"/>
        <v>11</v>
      </c>
      <c r="E160" s="151" t="s">
        <v>702</v>
      </c>
      <c r="F160" s="142" t="s">
        <v>1329</v>
      </c>
      <c r="G160" s="142" t="s">
        <v>1329</v>
      </c>
      <c r="H160" s="142" t="s">
        <v>1329</v>
      </c>
      <c r="I160" s="349" t="s">
        <v>1329</v>
      </c>
      <c r="J160" s="142" t="s">
        <v>1329</v>
      </c>
      <c r="K160" s="142" t="s">
        <v>1329</v>
      </c>
      <c r="L160" s="142" t="s">
        <v>1329</v>
      </c>
      <c r="M160" s="142" t="s">
        <v>1329</v>
      </c>
      <c r="N160" s="142" t="s">
        <v>1329</v>
      </c>
      <c r="O160" s="614" t="s">
        <v>1329</v>
      </c>
      <c r="P160" s="682" t="s">
        <v>1329</v>
      </c>
      <c r="Q160" s="696" t="s">
        <v>1329</v>
      </c>
      <c r="R160" s="142" t="s">
        <v>1329</v>
      </c>
      <c r="S160" s="142" t="s">
        <v>1329</v>
      </c>
      <c r="T160" s="142" t="s">
        <v>1329</v>
      </c>
      <c r="U160" s="142" t="s">
        <v>1329</v>
      </c>
    </row>
    <row r="161" spans="1:21" x14ac:dyDescent="0.2">
      <c r="A161">
        <f t="shared" si="10"/>
        <v>157</v>
      </c>
      <c r="B161" s="40" t="s">
        <v>1325</v>
      </c>
      <c r="C161" s="148" t="str">
        <f t="shared" si="11"/>
        <v>Part of Form 1125-A, Ln 5</v>
      </c>
      <c r="D161" s="46">
        <f t="shared" si="12"/>
        <v>12</v>
      </c>
      <c r="E161" s="151" t="s">
        <v>702</v>
      </c>
      <c r="F161" s="148" t="s">
        <v>174</v>
      </c>
      <c r="G161" s="148" t="s">
        <v>174</v>
      </c>
      <c r="H161" s="148" t="s">
        <v>174</v>
      </c>
      <c r="I161" s="348" t="s">
        <v>174</v>
      </c>
      <c r="J161" s="142" t="s">
        <v>174</v>
      </c>
      <c r="K161" s="142" t="s">
        <v>174</v>
      </c>
      <c r="L161" s="142" t="s">
        <v>174</v>
      </c>
      <c r="M161" s="349" t="s">
        <v>269</v>
      </c>
      <c r="N161" s="349" t="s">
        <v>269</v>
      </c>
      <c r="O161" s="614" t="s">
        <v>269</v>
      </c>
      <c r="P161" s="682" t="s">
        <v>269</v>
      </c>
      <c r="Q161" s="696" t="s">
        <v>269</v>
      </c>
      <c r="R161" s="349" t="s">
        <v>269</v>
      </c>
      <c r="S161" s="349" t="s">
        <v>269</v>
      </c>
      <c r="T161" s="349" t="s">
        <v>269</v>
      </c>
      <c r="U161" s="349" t="s">
        <v>269</v>
      </c>
    </row>
    <row r="162" spans="1:21" ht="24.95" customHeight="1" x14ac:dyDescent="0.2">
      <c r="A162">
        <f t="shared" si="10"/>
        <v>158</v>
      </c>
      <c r="B162" s="40" t="s">
        <v>1266</v>
      </c>
      <c r="C162" s="686" t="str">
        <f t="shared" si="11"/>
        <v>Part of Form 1120S, Pg 1, Ln 12 &amp; Part of 8825, Ln 11</v>
      </c>
      <c r="D162" s="46">
        <f t="shared" si="12"/>
        <v>13</v>
      </c>
      <c r="E162" s="155" t="s">
        <v>702</v>
      </c>
      <c r="F162" s="155" t="s">
        <v>458</v>
      </c>
      <c r="G162" s="155" t="s">
        <v>458</v>
      </c>
      <c r="H162" s="155" t="s">
        <v>458</v>
      </c>
      <c r="I162" s="350" t="s">
        <v>458</v>
      </c>
      <c r="J162" s="155" t="s">
        <v>458</v>
      </c>
      <c r="K162" s="155" t="s">
        <v>458</v>
      </c>
      <c r="L162" s="155" t="s">
        <v>458</v>
      </c>
      <c r="M162" s="155" t="s">
        <v>458</v>
      </c>
      <c r="N162" s="155" t="s">
        <v>458</v>
      </c>
      <c r="O162" s="615" t="s">
        <v>458</v>
      </c>
      <c r="P162" s="684" t="s">
        <v>458</v>
      </c>
      <c r="Q162" s="698" t="s">
        <v>458</v>
      </c>
      <c r="R162" s="155" t="s">
        <v>458</v>
      </c>
      <c r="S162" s="155" t="s">
        <v>458</v>
      </c>
      <c r="T162" s="155" t="s">
        <v>458</v>
      </c>
      <c r="U162" s="155" t="s">
        <v>458</v>
      </c>
    </row>
    <row r="163" spans="1:21" x14ac:dyDescent="0.2">
      <c r="A163">
        <f t="shared" si="10"/>
        <v>159</v>
      </c>
      <c r="B163" s="45" t="s">
        <v>110</v>
      </c>
      <c r="C163" s="148" t="str">
        <f t="shared" si="11"/>
        <v>1120S, Sched L, Ln 3(b)</v>
      </c>
      <c r="D163" s="46">
        <f t="shared" si="12"/>
        <v>14</v>
      </c>
      <c r="E163" s="151" t="s">
        <v>702</v>
      </c>
      <c r="F163" s="142" t="s">
        <v>186</v>
      </c>
      <c r="G163" s="142" t="s">
        <v>186</v>
      </c>
      <c r="H163" s="142" t="s">
        <v>186</v>
      </c>
      <c r="I163" s="349" t="s">
        <v>186</v>
      </c>
      <c r="J163" s="142" t="s">
        <v>186</v>
      </c>
      <c r="K163" s="142" t="s">
        <v>186</v>
      </c>
      <c r="L163" s="142" t="s">
        <v>186</v>
      </c>
      <c r="M163" s="142" t="s">
        <v>186</v>
      </c>
      <c r="N163" s="142" t="s">
        <v>186</v>
      </c>
      <c r="O163" s="614" t="s">
        <v>186</v>
      </c>
      <c r="P163" s="682" t="s">
        <v>186</v>
      </c>
      <c r="Q163" s="696" t="s">
        <v>186</v>
      </c>
      <c r="R163" s="142" t="s">
        <v>186</v>
      </c>
      <c r="S163" s="142" t="s">
        <v>186</v>
      </c>
      <c r="T163" s="142" t="s">
        <v>186</v>
      </c>
      <c r="U163" s="142" t="s">
        <v>186</v>
      </c>
    </row>
    <row r="164" spans="1:21" x14ac:dyDescent="0.2">
      <c r="A164">
        <f t="shared" si="10"/>
        <v>160</v>
      </c>
      <c r="B164" s="45" t="s">
        <v>111</v>
      </c>
      <c r="C164" s="148" t="str">
        <f t="shared" si="11"/>
        <v>1120S, Sched L, Ln 3(d)</v>
      </c>
      <c r="D164" s="46">
        <f t="shared" si="12"/>
        <v>15</v>
      </c>
      <c r="E164" s="151" t="s">
        <v>702</v>
      </c>
      <c r="F164" s="142" t="s">
        <v>187</v>
      </c>
      <c r="G164" s="142" t="s">
        <v>187</v>
      </c>
      <c r="H164" s="142" t="s">
        <v>187</v>
      </c>
      <c r="I164" s="349" t="s">
        <v>187</v>
      </c>
      <c r="J164" s="142" t="s">
        <v>187</v>
      </c>
      <c r="K164" s="142" t="s">
        <v>187</v>
      </c>
      <c r="L164" s="142" t="s">
        <v>187</v>
      </c>
      <c r="M164" s="142" t="s">
        <v>187</v>
      </c>
      <c r="N164" s="142" t="s">
        <v>187</v>
      </c>
      <c r="O164" s="614" t="s">
        <v>187</v>
      </c>
      <c r="P164" s="682" t="s">
        <v>187</v>
      </c>
      <c r="Q164" s="696" t="s">
        <v>187</v>
      </c>
      <c r="R164" s="142" t="s">
        <v>187</v>
      </c>
      <c r="S164" s="142" t="s">
        <v>187</v>
      </c>
      <c r="T164" s="142" t="s">
        <v>187</v>
      </c>
      <c r="U164" s="142" t="s">
        <v>187</v>
      </c>
    </row>
    <row r="165" spans="1:21" x14ac:dyDescent="0.2">
      <c r="A165">
        <f t="shared" si="10"/>
        <v>161</v>
      </c>
      <c r="B165" s="85" t="s">
        <v>1302</v>
      </c>
      <c r="C165" s="148" t="str">
        <f t="shared" si="11"/>
        <v>1120S, Sched L, Ln 10a(a)</v>
      </c>
      <c r="D165" s="46">
        <f t="shared" si="12"/>
        <v>16</v>
      </c>
      <c r="E165" s="151" t="s">
        <v>702</v>
      </c>
      <c r="F165" s="142" t="s">
        <v>188</v>
      </c>
      <c r="G165" s="142" t="s">
        <v>188</v>
      </c>
      <c r="H165" s="142" t="s">
        <v>188</v>
      </c>
      <c r="I165" s="349" t="s">
        <v>188</v>
      </c>
      <c r="J165" s="142" t="s">
        <v>188</v>
      </c>
      <c r="K165" s="142" t="s">
        <v>188</v>
      </c>
      <c r="L165" s="142" t="s">
        <v>188</v>
      </c>
      <c r="M165" s="142" t="s">
        <v>188</v>
      </c>
      <c r="N165" s="142" t="s">
        <v>188</v>
      </c>
      <c r="O165" s="614" t="s">
        <v>188</v>
      </c>
      <c r="P165" s="682" t="s">
        <v>188</v>
      </c>
      <c r="Q165" s="696" t="s">
        <v>188</v>
      </c>
      <c r="R165" s="142" t="s">
        <v>188</v>
      </c>
      <c r="S165" s="142" t="s">
        <v>188</v>
      </c>
      <c r="T165" s="142" t="s">
        <v>188</v>
      </c>
      <c r="U165" s="142" t="s">
        <v>188</v>
      </c>
    </row>
    <row r="166" spans="1:21" x14ac:dyDescent="0.2">
      <c r="A166">
        <f t="shared" si="10"/>
        <v>162</v>
      </c>
      <c r="B166" s="85" t="s">
        <v>1321</v>
      </c>
      <c r="C166" s="148" t="str">
        <f t="shared" si="11"/>
        <v>1120S, Sched L, Ln 10a(c)</v>
      </c>
      <c r="D166" s="46">
        <f t="shared" si="12"/>
        <v>17</v>
      </c>
      <c r="E166" s="151" t="s">
        <v>702</v>
      </c>
      <c r="F166" s="142" t="s">
        <v>325</v>
      </c>
      <c r="G166" s="142" t="s">
        <v>325</v>
      </c>
      <c r="H166" s="142" t="s">
        <v>325</v>
      </c>
      <c r="I166" s="349" t="s">
        <v>325</v>
      </c>
      <c r="J166" s="142" t="s">
        <v>325</v>
      </c>
      <c r="K166" s="142" t="s">
        <v>325</v>
      </c>
      <c r="L166" s="142" t="s">
        <v>325</v>
      </c>
      <c r="M166" s="142" t="s">
        <v>325</v>
      </c>
      <c r="N166" s="142" t="s">
        <v>325</v>
      </c>
      <c r="O166" s="614" t="s">
        <v>325</v>
      </c>
      <c r="P166" s="682" t="s">
        <v>325</v>
      </c>
      <c r="Q166" s="696" t="s">
        <v>325</v>
      </c>
      <c r="R166" s="142" t="s">
        <v>325</v>
      </c>
      <c r="S166" s="142" t="s">
        <v>325</v>
      </c>
      <c r="T166" s="142" t="s">
        <v>325</v>
      </c>
      <c r="U166" s="142" t="s">
        <v>325</v>
      </c>
    </row>
    <row r="167" spans="1:21" x14ac:dyDescent="0.2">
      <c r="A167">
        <f t="shared" si="10"/>
        <v>163</v>
      </c>
      <c r="B167" s="85" t="s">
        <v>1303</v>
      </c>
      <c r="C167" s="148" t="str">
        <f t="shared" si="11"/>
        <v>1120S, Sched L, Ln 11a(a)</v>
      </c>
      <c r="D167" s="46">
        <f t="shared" si="12"/>
        <v>18</v>
      </c>
      <c r="E167" s="151" t="s">
        <v>702</v>
      </c>
      <c r="F167" s="142" t="s">
        <v>326</v>
      </c>
      <c r="G167" s="142" t="s">
        <v>326</v>
      </c>
      <c r="H167" s="142" t="s">
        <v>326</v>
      </c>
      <c r="I167" s="349" t="s">
        <v>326</v>
      </c>
      <c r="J167" s="142" t="s">
        <v>326</v>
      </c>
      <c r="K167" s="142" t="s">
        <v>326</v>
      </c>
      <c r="L167" s="142" t="s">
        <v>326</v>
      </c>
      <c r="M167" s="142" t="s">
        <v>326</v>
      </c>
      <c r="N167" s="142" t="s">
        <v>326</v>
      </c>
      <c r="O167" s="614" t="s">
        <v>326</v>
      </c>
      <c r="P167" s="682" t="s">
        <v>326</v>
      </c>
      <c r="Q167" s="696" t="s">
        <v>326</v>
      </c>
      <c r="R167" s="142" t="s">
        <v>326</v>
      </c>
      <c r="S167" s="142" t="s">
        <v>326</v>
      </c>
      <c r="T167" s="142" t="s">
        <v>326</v>
      </c>
      <c r="U167" s="142" t="s">
        <v>326</v>
      </c>
    </row>
    <row r="168" spans="1:21" x14ac:dyDescent="0.2">
      <c r="A168">
        <f t="shared" si="10"/>
        <v>164</v>
      </c>
      <c r="B168" s="85" t="s">
        <v>1306</v>
      </c>
      <c r="C168" s="148" t="str">
        <f t="shared" si="11"/>
        <v>1120S, Sched L, Ln 11a(c)</v>
      </c>
      <c r="D168" s="46">
        <f t="shared" si="12"/>
        <v>19</v>
      </c>
      <c r="E168" s="151" t="s">
        <v>702</v>
      </c>
      <c r="F168" s="142" t="s">
        <v>327</v>
      </c>
      <c r="G168" s="142" t="s">
        <v>327</v>
      </c>
      <c r="H168" s="142" t="s">
        <v>327</v>
      </c>
      <c r="I168" s="349" t="s">
        <v>327</v>
      </c>
      <c r="J168" s="142" t="s">
        <v>327</v>
      </c>
      <c r="K168" s="142" t="s">
        <v>327</v>
      </c>
      <c r="L168" s="142" t="s">
        <v>327</v>
      </c>
      <c r="M168" s="142" t="s">
        <v>327</v>
      </c>
      <c r="N168" s="142" t="s">
        <v>327</v>
      </c>
      <c r="O168" s="614" t="s">
        <v>327</v>
      </c>
      <c r="P168" s="682" t="s">
        <v>327</v>
      </c>
      <c r="Q168" s="696" t="s">
        <v>327</v>
      </c>
      <c r="R168" s="142" t="s">
        <v>327</v>
      </c>
      <c r="S168" s="142" t="s">
        <v>327</v>
      </c>
      <c r="T168" s="142" t="s">
        <v>327</v>
      </c>
      <c r="U168" s="142" t="s">
        <v>327</v>
      </c>
    </row>
    <row r="169" spans="1:21" x14ac:dyDescent="0.2">
      <c r="A169">
        <f t="shared" si="10"/>
        <v>165</v>
      </c>
      <c r="B169" s="85" t="s">
        <v>1304</v>
      </c>
      <c r="C169" s="148" t="str">
        <f t="shared" si="11"/>
        <v>1120S, Sched L, Ln 12(b)</v>
      </c>
      <c r="D169" s="46">
        <f t="shared" si="12"/>
        <v>20</v>
      </c>
      <c r="E169" s="151" t="s">
        <v>702</v>
      </c>
      <c r="F169" s="142" t="s">
        <v>328</v>
      </c>
      <c r="G169" s="142" t="s">
        <v>328</v>
      </c>
      <c r="H169" s="142" t="s">
        <v>328</v>
      </c>
      <c r="I169" s="349" t="s">
        <v>328</v>
      </c>
      <c r="J169" s="142" t="s">
        <v>328</v>
      </c>
      <c r="K169" s="142" t="s">
        <v>328</v>
      </c>
      <c r="L169" s="142" t="s">
        <v>328</v>
      </c>
      <c r="M169" s="142" t="s">
        <v>328</v>
      </c>
      <c r="N169" s="142" t="s">
        <v>328</v>
      </c>
      <c r="O169" s="614" t="s">
        <v>328</v>
      </c>
      <c r="P169" s="682" t="s">
        <v>328</v>
      </c>
      <c r="Q169" s="696" t="s">
        <v>328</v>
      </c>
      <c r="R169" s="142" t="s">
        <v>328</v>
      </c>
      <c r="S169" s="142" t="s">
        <v>328</v>
      </c>
      <c r="T169" s="142" t="s">
        <v>328</v>
      </c>
      <c r="U169" s="142" t="s">
        <v>328</v>
      </c>
    </row>
    <row r="170" spans="1:21" x14ac:dyDescent="0.2">
      <c r="A170">
        <f t="shared" si="10"/>
        <v>166</v>
      </c>
      <c r="B170" s="85" t="s">
        <v>1305</v>
      </c>
      <c r="C170" s="148" t="str">
        <f t="shared" si="11"/>
        <v>1120S, Sched L, Ln 12(d)</v>
      </c>
      <c r="D170" s="46">
        <f t="shared" si="12"/>
        <v>21</v>
      </c>
      <c r="E170" s="151" t="s">
        <v>702</v>
      </c>
      <c r="F170" s="142" t="s">
        <v>329</v>
      </c>
      <c r="G170" s="142" t="s">
        <v>329</v>
      </c>
      <c r="H170" s="142" t="s">
        <v>329</v>
      </c>
      <c r="I170" s="349" t="s">
        <v>329</v>
      </c>
      <c r="J170" s="142" t="s">
        <v>329</v>
      </c>
      <c r="K170" s="142" t="s">
        <v>329</v>
      </c>
      <c r="L170" s="142" t="s">
        <v>329</v>
      </c>
      <c r="M170" s="142" t="s">
        <v>329</v>
      </c>
      <c r="N170" s="142" t="s">
        <v>329</v>
      </c>
      <c r="O170" s="614" t="s">
        <v>329</v>
      </c>
      <c r="P170" s="682" t="s">
        <v>329</v>
      </c>
      <c r="Q170" s="696" t="s">
        <v>329</v>
      </c>
      <c r="R170" s="142" t="s">
        <v>329</v>
      </c>
      <c r="S170" s="142" t="s">
        <v>329</v>
      </c>
      <c r="T170" s="142" t="s">
        <v>329</v>
      </c>
      <c r="U170" s="142" t="s">
        <v>329</v>
      </c>
    </row>
    <row r="171" spans="1:21" x14ac:dyDescent="0.2">
      <c r="A171">
        <f t="shared" si="10"/>
        <v>167</v>
      </c>
      <c r="B171" s="40" t="s">
        <v>23</v>
      </c>
      <c r="C171" s="148" t="str">
        <f t="shared" si="11"/>
        <v>1120S, Sched K, Ln 7</v>
      </c>
      <c r="D171" s="46">
        <f t="shared" si="12"/>
        <v>22</v>
      </c>
      <c r="E171" s="151" t="s">
        <v>702</v>
      </c>
      <c r="F171" s="138" t="s">
        <v>753</v>
      </c>
      <c r="G171" s="138" t="s">
        <v>753</v>
      </c>
      <c r="H171" s="138" t="s">
        <v>753</v>
      </c>
      <c r="I171" s="141" t="s">
        <v>753</v>
      </c>
      <c r="J171" s="138" t="s">
        <v>1170</v>
      </c>
      <c r="K171" s="138" t="s">
        <v>1170</v>
      </c>
      <c r="L171" s="138" t="s">
        <v>273</v>
      </c>
      <c r="M171" s="138" t="s">
        <v>273</v>
      </c>
      <c r="N171" s="138" t="s">
        <v>273</v>
      </c>
      <c r="O171" s="613" t="s">
        <v>273</v>
      </c>
      <c r="P171" s="683" t="s">
        <v>273</v>
      </c>
      <c r="Q171" s="697" t="s">
        <v>273</v>
      </c>
      <c r="R171" s="138" t="s">
        <v>273</v>
      </c>
      <c r="S171" s="138" t="s">
        <v>273</v>
      </c>
      <c r="T171" s="732" t="s">
        <v>273</v>
      </c>
      <c r="U171" s="747" t="s">
        <v>273</v>
      </c>
    </row>
    <row r="172" spans="1:21" x14ac:dyDescent="0.2">
      <c r="A172">
        <f t="shared" si="10"/>
        <v>168</v>
      </c>
      <c r="B172" s="40" t="s">
        <v>24</v>
      </c>
      <c r="C172" s="148" t="str">
        <f t="shared" si="11"/>
        <v>1120S, Sched K, Ln 8a</v>
      </c>
      <c r="D172" s="46">
        <f t="shared" si="12"/>
        <v>23</v>
      </c>
      <c r="E172" s="151" t="s">
        <v>702</v>
      </c>
      <c r="F172" s="138" t="s">
        <v>754</v>
      </c>
      <c r="G172" s="138" t="s">
        <v>754</v>
      </c>
      <c r="H172" s="138" t="s">
        <v>754</v>
      </c>
      <c r="I172" s="141" t="s">
        <v>754</v>
      </c>
      <c r="J172" s="138" t="s">
        <v>1171</v>
      </c>
      <c r="K172" s="138" t="s">
        <v>1171</v>
      </c>
      <c r="L172" s="138" t="s">
        <v>274</v>
      </c>
      <c r="M172" s="138" t="s">
        <v>274</v>
      </c>
      <c r="N172" s="138" t="s">
        <v>274</v>
      </c>
      <c r="O172" s="613" t="s">
        <v>274</v>
      </c>
      <c r="P172" s="683" t="s">
        <v>274</v>
      </c>
      <c r="Q172" s="697" t="s">
        <v>274</v>
      </c>
      <c r="R172" s="138" t="s">
        <v>274</v>
      </c>
      <c r="S172" s="138" t="s">
        <v>274</v>
      </c>
      <c r="T172" s="732" t="s">
        <v>274</v>
      </c>
      <c r="U172" s="747" t="s">
        <v>274</v>
      </c>
    </row>
    <row r="173" spans="1:21" x14ac:dyDescent="0.2">
      <c r="A173">
        <f t="shared" si="10"/>
        <v>169</v>
      </c>
      <c r="B173" s="40" t="s">
        <v>25</v>
      </c>
      <c r="C173" s="148" t="str">
        <f t="shared" si="11"/>
        <v>1120S, Sched K, Ln 9</v>
      </c>
      <c r="D173" s="46">
        <f t="shared" si="12"/>
        <v>24</v>
      </c>
      <c r="E173" s="151" t="s">
        <v>702</v>
      </c>
      <c r="F173" s="138" t="s">
        <v>688</v>
      </c>
      <c r="G173" s="138" t="s">
        <v>688</v>
      </c>
      <c r="H173" s="138" t="s">
        <v>688</v>
      </c>
      <c r="I173" s="138" t="s">
        <v>688</v>
      </c>
      <c r="J173" s="138" t="s">
        <v>688</v>
      </c>
      <c r="K173" s="138" t="s">
        <v>688</v>
      </c>
      <c r="L173" s="138" t="s">
        <v>275</v>
      </c>
      <c r="M173" s="138" t="s">
        <v>275</v>
      </c>
      <c r="N173" s="138" t="s">
        <v>275</v>
      </c>
      <c r="O173" s="613" t="s">
        <v>275</v>
      </c>
      <c r="P173" s="683" t="s">
        <v>275</v>
      </c>
      <c r="Q173" s="697" t="s">
        <v>275</v>
      </c>
      <c r="R173" s="138" t="s">
        <v>275</v>
      </c>
      <c r="S173" s="138" t="s">
        <v>275</v>
      </c>
      <c r="T173" s="732" t="s">
        <v>275</v>
      </c>
      <c r="U173" s="747" t="s">
        <v>275</v>
      </c>
    </row>
    <row r="174" spans="1:21" x14ac:dyDescent="0.2">
      <c r="A174">
        <f t="shared" si="10"/>
        <v>170</v>
      </c>
      <c r="B174" s="40" t="s">
        <v>26</v>
      </c>
      <c r="C174" s="148" t="str">
        <f t="shared" si="11"/>
        <v>1120S, Sched K, Ln 11</v>
      </c>
      <c r="D174" s="46">
        <f t="shared" si="12"/>
        <v>25</v>
      </c>
      <c r="E174" s="151" t="s">
        <v>702</v>
      </c>
      <c r="F174" s="141" t="s">
        <v>689</v>
      </c>
      <c r="G174" s="141" t="s">
        <v>689</v>
      </c>
      <c r="H174" s="141" t="s">
        <v>689</v>
      </c>
      <c r="I174" s="141" t="s">
        <v>689</v>
      </c>
      <c r="J174" s="141" t="s">
        <v>689</v>
      </c>
      <c r="K174" s="141" t="s">
        <v>689</v>
      </c>
      <c r="L174" s="141" t="s">
        <v>689</v>
      </c>
      <c r="M174" s="141" t="s">
        <v>689</v>
      </c>
      <c r="N174" s="141" t="s">
        <v>924</v>
      </c>
      <c r="O174" s="613" t="s">
        <v>924</v>
      </c>
      <c r="P174" s="683" t="s">
        <v>924</v>
      </c>
      <c r="Q174" s="697" t="s">
        <v>924</v>
      </c>
      <c r="R174" s="141" t="s">
        <v>924</v>
      </c>
      <c r="S174" s="141" t="s">
        <v>924</v>
      </c>
      <c r="T174" s="141" t="s">
        <v>924</v>
      </c>
      <c r="U174" s="141" t="s">
        <v>924</v>
      </c>
    </row>
    <row r="175" spans="1:21" x14ac:dyDescent="0.2">
      <c r="A175">
        <f t="shared" si="10"/>
        <v>171</v>
      </c>
      <c r="B175" s="40" t="s">
        <v>361</v>
      </c>
      <c r="C175" s="148" t="str">
        <f t="shared" si="11"/>
        <v>4562, Part I, Ln 13</v>
      </c>
      <c r="D175" s="46">
        <f t="shared" si="12"/>
        <v>26</v>
      </c>
      <c r="E175" s="151" t="s">
        <v>702</v>
      </c>
      <c r="F175" s="141" t="s">
        <v>362</v>
      </c>
      <c r="G175" s="141" t="s">
        <v>362</v>
      </c>
      <c r="H175" s="141" t="s">
        <v>362</v>
      </c>
      <c r="I175" s="141" t="s">
        <v>362</v>
      </c>
      <c r="J175" s="141" t="s">
        <v>362</v>
      </c>
      <c r="K175" s="141" t="s">
        <v>362</v>
      </c>
      <c r="L175" s="141" t="s">
        <v>362</v>
      </c>
      <c r="M175" s="141" t="s">
        <v>362</v>
      </c>
      <c r="N175" s="141" t="s">
        <v>362</v>
      </c>
      <c r="O175" s="613" t="s">
        <v>362</v>
      </c>
      <c r="P175" s="683" t="s">
        <v>362</v>
      </c>
      <c r="Q175" s="697" t="s">
        <v>362</v>
      </c>
      <c r="R175" s="141" t="s">
        <v>362</v>
      </c>
      <c r="S175" s="141" t="s">
        <v>362</v>
      </c>
      <c r="T175" s="141" t="s">
        <v>362</v>
      </c>
      <c r="U175" s="141" t="s">
        <v>362</v>
      </c>
    </row>
    <row r="176" spans="1:21" x14ac:dyDescent="0.2">
      <c r="A176">
        <f t="shared" si="10"/>
        <v>172</v>
      </c>
      <c r="B176" s="40" t="s">
        <v>654</v>
      </c>
      <c r="C176" s="148" t="str">
        <f t="shared" si="11"/>
        <v>1120S, Sched K, Ln 12a</v>
      </c>
      <c r="D176" s="46">
        <f t="shared" si="12"/>
        <v>27</v>
      </c>
      <c r="E176" s="151" t="s">
        <v>702</v>
      </c>
      <c r="F176" s="138" t="s">
        <v>751</v>
      </c>
      <c r="G176" s="138" t="s">
        <v>751</v>
      </c>
      <c r="H176" s="138" t="s">
        <v>751</v>
      </c>
      <c r="I176" s="141" t="s">
        <v>751</v>
      </c>
      <c r="J176" s="138" t="s">
        <v>751</v>
      </c>
      <c r="K176" s="138" t="s">
        <v>751</v>
      </c>
      <c r="L176" s="138" t="s">
        <v>751</v>
      </c>
      <c r="M176" s="138" t="s">
        <v>751</v>
      </c>
      <c r="N176" s="138" t="s">
        <v>925</v>
      </c>
      <c r="O176" s="613" t="s">
        <v>925</v>
      </c>
      <c r="P176" s="683" t="s">
        <v>925</v>
      </c>
      <c r="Q176" s="697" t="s">
        <v>925</v>
      </c>
      <c r="R176" s="138" t="s">
        <v>925</v>
      </c>
      <c r="S176" s="138" t="s">
        <v>925</v>
      </c>
      <c r="T176" s="732" t="s">
        <v>925</v>
      </c>
      <c r="U176" s="747" t="s">
        <v>925</v>
      </c>
    </row>
    <row r="177" spans="1:21" x14ac:dyDescent="0.2">
      <c r="A177">
        <f t="shared" si="10"/>
        <v>173</v>
      </c>
      <c r="B177" s="47" t="s">
        <v>28</v>
      </c>
      <c r="C177" s="148" t="str">
        <f t="shared" si="11"/>
        <v>Various</v>
      </c>
      <c r="D177" s="46">
        <f t="shared" si="12"/>
        <v>28</v>
      </c>
      <c r="E177" s="151" t="s">
        <v>702</v>
      </c>
      <c r="F177" s="143" t="s">
        <v>752</v>
      </c>
      <c r="G177" s="143" t="s">
        <v>752</v>
      </c>
      <c r="H177" s="143" t="s">
        <v>752</v>
      </c>
      <c r="I177" s="143" t="s">
        <v>752</v>
      </c>
      <c r="J177" s="143" t="s">
        <v>752</v>
      </c>
      <c r="K177" s="143" t="s">
        <v>752</v>
      </c>
      <c r="L177" s="143" t="s">
        <v>752</v>
      </c>
      <c r="M177" s="143" t="s">
        <v>752</v>
      </c>
      <c r="N177" s="143" t="s">
        <v>752</v>
      </c>
      <c r="O177" s="143" t="s">
        <v>752</v>
      </c>
      <c r="P177" s="143" t="s">
        <v>752</v>
      </c>
      <c r="Q177" s="143" t="s">
        <v>752</v>
      </c>
      <c r="R177" s="143" t="s">
        <v>752</v>
      </c>
      <c r="S177" s="143" t="s">
        <v>752</v>
      </c>
      <c r="T177" s="143" t="s">
        <v>752</v>
      </c>
      <c r="U177" s="143" t="s">
        <v>752</v>
      </c>
    </row>
    <row r="178" spans="1:21" x14ac:dyDescent="0.2">
      <c r="A178">
        <f t="shared" si="10"/>
        <v>174</v>
      </c>
      <c r="B178" s="47" t="s">
        <v>27</v>
      </c>
      <c r="C178" s="148" t="str">
        <f t="shared" si="11"/>
        <v>Various</v>
      </c>
      <c r="D178" s="46">
        <f t="shared" si="12"/>
        <v>29</v>
      </c>
      <c r="E178" s="151" t="s">
        <v>702</v>
      </c>
      <c r="F178" s="143" t="s">
        <v>752</v>
      </c>
      <c r="G178" s="143" t="s">
        <v>752</v>
      </c>
      <c r="H178" s="143" t="s">
        <v>752</v>
      </c>
      <c r="I178" s="143" t="s">
        <v>752</v>
      </c>
      <c r="J178" s="143" t="s">
        <v>752</v>
      </c>
      <c r="K178" s="143" t="s">
        <v>752</v>
      </c>
      <c r="L178" s="143" t="s">
        <v>752</v>
      </c>
      <c r="M178" s="143" t="s">
        <v>752</v>
      </c>
      <c r="N178" s="143" t="s">
        <v>752</v>
      </c>
      <c r="O178" s="143" t="s">
        <v>752</v>
      </c>
      <c r="P178" s="143" t="s">
        <v>752</v>
      </c>
      <c r="Q178" s="143" t="s">
        <v>752</v>
      </c>
      <c r="R178" s="143" t="s">
        <v>752</v>
      </c>
      <c r="S178" s="143" t="s">
        <v>752</v>
      </c>
      <c r="T178" s="143" t="s">
        <v>752</v>
      </c>
      <c r="U178" s="143" t="s">
        <v>752</v>
      </c>
    </row>
    <row r="179" spans="1:21" x14ac:dyDescent="0.2">
      <c r="A179">
        <f t="shared" si="10"/>
        <v>175</v>
      </c>
      <c r="B179" s="47" t="s">
        <v>757</v>
      </c>
      <c r="C179" s="148" t="str">
        <f t="shared" si="11"/>
        <v>Various</v>
      </c>
      <c r="D179" s="46">
        <f t="shared" si="12"/>
        <v>30</v>
      </c>
      <c r="E179" s="151" t="s">
        <v>702</v>
      </c>
      <c r="F179" s="143" t="s">
        <v>752</v>
      </c>
      <c r="G179" s="143" t="s">
        <v>752</v>
      </c>
      <c r="H179" s="143" t="s">
        <v>752</v>
      </c>
      <c r="I179" s="143" t="s">
        <v>752</v>
      </c>
      <c r="J179" s="143" t="s">
        <v>752</v>
      </c>
      <c r="K179" s="143" t="s">
        <v>752</v>
      </c>
      <c r="L179" s="143" t="s">
        <v>752</v>
      </c>
      <c r="M179" s="143" t="s">
        <v>752</v>
      </c>
      <c r="N179" s="143" t="s">
        <v>752</v>
      </c>
      <c r="O179" s="143" t="s">
        <v>752</v>
      </c>
      <c r="P179" s="143" t="s">
        <v>752</v>
      </c>
      <c r="Q179" s="143" t="s">
        <v>752</v>
      </c>
      <c r="R179" s="143" t="s">
        <v>752</v>
      </c>
      <c r="S179" s="143" t="s">
        <v>752</v>
      </c>
      <c r="T179" s="143" t="s">
        <v>752</v>
      </c>
      <c r="U179" s="143" t="s">
        <v>752</v>
      </c>
    </row>
    <row r="180" spans="1:21" x14ac:dyDescent="0.2">
      <c r="A180">
        <f t="shared" si="10"/>
        <v>176</v>
      </c>
      <c r="B180" s="40" t="s">
        <v>678</v>
      </c>
      <c r="C180" s="148" t="str">
        <f t="shared" si="11"/>
        <v>4797, Part III, Ln 22</v>
      </c>
      <c r="D180" s="46">
        <f t="shared" si="12"/>
        <v>31</v>
      </c>
      <c r="E180" s="151" t="s">
        <v>702</v>
      </c>
      <c r="F180" s="138" t="s">
        <v>12</v>
      </c>
      <c r="G180" s="138" t="s">
        <v>12</v>
      </c>
      <c r="H180" s="138" t="s">
        <v>12</v>
      </c>
      <c r="I180" s="138" t="s">
        <v>12</v>
      </c>
      <c r="J180" s="138" t="s">
        <v>12</v>
      </c>
      <c r="K180" s="138" t="s">
        <v>12</v>
      </c>
      <c r="L180" s="138" t="s">
        <v>12</v>
      </c>
      <c r="M180" s="138" t="s">
        <v>12</v>
      </c>
      <c r="N180" s="138" t="s">
        <v>12</v>
      </c>
      <c r="O180" s="613" t="s">
        <v>12</v>
      </c>
      <c r="P180" s="683" t="s">
        <v>12</v>
      </c>
      <c r="Q180" s="697" t="s">
        <v>12</v>
      </c>
      <c r="R180" s="141" t="s">
        <v>12</v>
      </c>
      <c r="S180" s="141" t="s">
        <v>12</v>
      </c>
      <c r="T180" s="141" t="s">
        <v>12</v>
      </c>
      <c r="U180" s="141" t="s">
        <v>12</v>
      </c>
    </row>
    <row r="181" spans="1:21" x14ac:dyDescent="0.2">
      <c r="A181">
        <f t="shared" si="10"/>
        <v>177</v>
      </c>
      <c r="B181" s="41" t="s">
        <v>679</v>
      </c>
      <c r="C181" s="148" t="str">
        <f t="shared" si="11"/>
        <v>4797, Part III, Ln 24</v>
      </c>
      <c r="D181" s="46">
        <f t="shared" si="12"/>
        <v>32</v>
      </c>
      <c r="E181" s="151" t="s">
        <v>702</v>
      </c>
      <c r="F181" s="138" t="s">
        <v>13</v>
      </c>
      <c r="G181" s="138" t="s">
        <v>13</v>
      </c>
      <c r="H181" s="138" t="s">
        <v>13</v>
      </c>
      <c r="I181" s="138" t="s">
        <v>13</v>
      </c>
      <c r="J181" s="138" t="s">
        <v>13</v>
      </c>
      <c r="K181" s="138" t="s">
        <v>13</v>
      </c>
      <c r="L181" s="138" t="s">
        <v>13</v>
      </c>
      <c r="M181" s="138" t="s">
        <v>13</v>
      </c>
      <c r="N181" s="138" t="s">
        <v>13</v>
      </c>
      <c r="O181" s="613" t="s">
        <v>13</v>
      </c>
      <c r="P181" s="683" t="s">
        <v>13</v>
      </c>
      <c r="Q181" s="697" t="s">
        <v>13</v>
      </c>
      <c r="R181" s="141" t="s">
        <v>13</v>
      </c>
      <c r="S181" s="141" t="s">
        <v>13</v>
      </c>
      <c r="T181" s="141" t="s">
        <v>13</v>
      </c>
      <c r="U181" s="141" t="s">
        <v>13</v>
      </c>
    </row>
    <row r="182" spans="1:21" x14ac:dyDescent="0.2">
      <c r="A182">
        <f t="shared" si="10"/>
        <v>178</v>
      </c>
      <c r="B182" s="41" t="s">
        <v>680</v>
      </c>
      <c r="C182" s="147"/>
      <c r="D182" s="46">
        <f t="shared" si="12"/>
        <v>33</v>
      </c>
      <c r="E182" s="139"/>
      <c r="F182" s="139"/>
      <c r="G182" s="139"/>
      <c r="H182" s="139"/>
      <c r="I182" s="139"/>
      <c r="J182" s="139"/>
      <c r="K182" s="139"/>
      <c r="L182" s="139"/>
      <c r="M182" s="139"/>
      <c r="N182" s="139"/>
      <c r="O182" s="139"/>
      <c r="P182" s="139"/>
      <c r="Q182" s="139"/>
      <c r="R182" s="139"/>
      <c r="S182" s="139"/>
      <c r="T182" s="733"/>
      <c r="U182" s="748"/>
    </row>
    <row r="183" spans="1:21" x14ac:dyDescent="0.2">
      <c r="A183">
        <f t="shared" si="10"/>
        <v>179</v>
      </c>
      <c r="B183" s="41" t="s">
        <v>105</v>
      </c>
      <c r="C183" s="148" t="str">
        <f>HLOOKUP($C$2,$E$5:$T$255,$A183,FALSE)</f>
        <v>4797, Part III, Ln 26g</v>
      </c>
      <c r="D183" s="46">
        <f t="shared" si="12"/>
        <v>34</v>
      </c>
      <c r="E183" s="151" t="s">
        <v>702</v>
      </c>
      <c r="F183" s="138" t="s">
        <v>106</v>
      </c>
      <c r="G183" s="138" t="s">
        <v>106</v>
      </c>
      <c r="H183" s="138" t="s">
        <v>106</v>
      </c>
      <c r="I183" s="138" t="s">
        <v>106</v>
      </c>
      <c r="J183" s="138" t="s">
        <v>106</v>
      </c>
      <c r="K183" s="138" t="s">
        <v>106</v>
      </c>
      <c r="L183" s="138" t="s">
        <v>106</v>
      </c>
      <c r="M183" s="138" t="s">
        <v>106</v>
      </c>
      <c r="N183" s="138" t="s">
        <v>106</v>
      </c>
      <c r="O183" s="613" t="s">
        <v>106</v>
      </c>
      <c r="P183" s="683" t="s">
        <v>106</v>
      </c>
      <c r="Q183" s="697" t="s">
        <v>106</v>
      </c>
      <c r="R183" s="141" t="s">
        <v>106</v>
      </c>
      <c r="S183" s="141" t="s">
        <v>106</v>
      </c>
      <c r="T183" s="141" t="s">
        <v>106</v>
      </c>
      <c r="U183" s="141" t="s">
        <v>106</v>
      </c>
    </row>
    <row r="184" spans="1:21" x14ac:dyDescent="0.2">
      <c r="A184">
        <f t="shared" si="10"/>
        <v>180</v>
      </c>
      <c r="G184" s="124"/>
      <c r="M184" s="152"/>
      <c r="N184" s="152"/>
      <c r="O184" s="152"/>
      <c r="P184" s="152"/>
      <c r="Q184" s="152"/>
      <c r="R184" s="152"/>
      <c r="S184" s="152"/>
      <c r="T184" s="152"/>
      <c r="U184" s="152"/>
    </row>
    <row r="185" spans="1:21" x14ac:dyDescent="0.2">
      <c r="A185">
        <f t="shared" si="10"/>
        <v>181</v>
      </c>
      <c r="B185" s="150" t="s">
        <v>758</v>
      </c>
      <c r="G185" s="124"/>
      <c r="M185" s="152"/>
      <c r="N185" s="152"/>
      <c r="O185" s="152"/>
      <c r="P185" s="152"/>
      <c r="Q185" s="152"/>
      <c r="R185" s="152"/>
      <c r="S185" s="152"/>
      <c r="T185" s="152"/>
      <c r="U185" s="152"/>
    </row>
    <row r="186" spans="1:21" x14ac:dyDescent="0.2">
      <c r="A186">
        <f t="shared" si="10"/>
        <v>182</v>
      </c>
      <c r="B186" s="45" t="s">
        <v>22</v>
      </c>
      <c r="C186" s="148" t="str">
        <f t="shared" ref="C186:C217" si="13">HLOOKUP($C$2,$E$5:$T$255,$A186,FALSE)</f>
        <v>Form 1120-REIT, Pg 1, Ln 20</v>
      </c>
      <c r="D186" s="46">
        <v>1</v>
      </c>
      <c r="E186" s="151" t="s">
        <v>702</v>
      </c>
      <c r="F186" s="141" t="s">
        <v>759</v>
      </c>
      <c r="G186" s="141" t="s">
        <v>759</v>
      </c>
      <c r="H186" s="141" t="s">
        <v>759</v>
      </c>
      <c r="I186" s="141" t="s">
        <v>759</v>
      </c>
      <c r="J186" s="141" t="s">
        <v>759</v>
      </c>
      <c r="K186" s="141" t="s">
        <v>759</v>
      </c>
      <c r="L186" s="141" t="s">
        <v>759</v>
      </c>
      <c r="M186" s="141" t="s">
        <v>759</v>
      </c>
      <c r="N186" s="141" t="s">
        <v>759</v>
      </c>
      <c r="O186" s="613" t="s">
        <v>759</v>
      </c>
      <c r="P186" s="683" t="s">
        <v>759</v>
      </c>
      <c r="Q186" s="697" t="s">
        <v>759</v>
      </c>
      <c r="R186" s="141" t="s">
        <v>759</v>
      </c>
      <c r="S186" s="141" t="s">
        <v>759</v>
      </c>
      <c r="T186" s="141" t="s">
        <v>759</v>
      </c>
      <c r="U186" s="141" t="s">
        <v>759</v>
      </c>
    </row>
    <row r="187" spans="1:21" x14ac:dyDescent="0.2">
      <c r="A187">
        <f t="shared" si="10"/>
        <v>183</v>
      </c>
      <c r="B187" s="45" t="s">
        <v>1261</v>
      </c>
      <c r="C187" s="148" t="str">
        <f t="shared" si="13"/>
        <v>1120-REIT, Pg 1, Lns 3 &amp; 4</v>
      </c>
      <c r="D187" s="46">
        <f t="shared" ref="D187:D219" si="14">+D186+1</f>
        <v>2</v>
      </c>
      <c r="E187" s="151" t="s">
        <v>702</v>
      </c>
      <c r="F187" s="156" t="s">
        <v>179</v>
      </c>
      <c r="G187" s="156" t="s">
        <v>179</v>
      </c>
      <c r="H187" s="156" t="s">
        <v>179</v>
      </c>
      <c r="I187" s="138" t="s">
        <v>179</v>
      </c>
      <c r="J187" s="141" t="s">
        <v>179</v>
      </c>
      <c r="K187" s="141" t="s">
        <v>179</v>
      </c>
      <c r="L187" s="141" t="s">
        <v>179</v>
      </c>
      <c r="M187" s="141" t="s">
        <v>179</v>
      </c>
      <c r="N187" s="141" t="s">
        <v>179</v>
      </c>
      <c r="O187" s="613" t="s">
        <v>179</v>
      </c>
      <c r="P187" s="683" t="s">
        <v>179</v>
      </c>
      <c r="Q187" s="697" t="s">
        <v>179</v>
      </c>
      <c r="R187" s="141" t="s">
        <v>179</v>
      </c>
      <c r="S187" s="141" t="s">
        <v>179</v>
      </c>
      <c r="T187" s="141" t="s">
        <v>179</v>
      </c>
      <c r="U187" s="141" t="s">
        <v>179</v>
      </c>
    </row>
    <row r="188" spans="1:21" x14ac:dyDescent="0.2">
      <c r="A188">
        <f t="shared" si="10"/>
        <v>184</v>
      </c>
      <c r="B188" s="41" t="s">
        <v>9</v>
      </c>
      <c r="C188" s="148" t="str">
        <f t="shared" si="13"/>
        <v>Form 1120-REIT, Pg 1, Ln 2</v>
      </c>
      <c r="D188" s="46">
        <f t="shared" si="14"/>
        <v>3</v>
      </c>
      <c r="E188" s="151" t="s">
        <v>702</v>
      </c>
      <c r="F188" s="138" t="s">
        <v>760</v>
      </c>
      <c r="G188" s="138" t="s">
        <v>760</v>
      </c>
      <c r="H188" s="138" t="s">
        <v>760</v>
      </c>
      <c r="I188" s="138" t="s">
        <v>760</v>
      </c>
      <c r="J188" s="141" t="s">
        <v>760</v>
      </c>
      <c r="K188" s="141" t="s">
        <v>760</v>
      </c>
      <c r="L188" s="141" t="s">
        <v>760</v>
      </c>
      <c r="M188" s="141" t="s">
        <v>760</v>
      </c>
      <c r="N188" s="141" t="s">
        <v>760</v>
      </c>
      <c r="O188" s="613" t="s">
        <v>760</v>
      </c>
      <c r="P188" s="683" t="s">
        <v>760</v>
      </c>
      <c r="Q188" s="697" t="s">
        <v>760</v>
      </c>
      <c r="R188" s="141" t="s">
        <v>760</v>
      </c>
      <c r="S188" s="141" t="s">
        <v>760</v>
      </c>
      <c r="T188" s="141" t="s">
        <v>760</v>
      </c>
      <c r="U188" s="141" t="s">
        <v>760</v>
      </c>
    </row>
    <row r="189" spans="1:21" x14ac:dyDescent="0.2">
      <c r="A189">
        <f t="shared" si="10"/>
        <v>185</v>
      </c>
      <c r="B189" s="41" t="s">
        <v>10</v>
      </c>
      <c r="C189" s="148" t="str">
        <f t="shared" si="13"/>
        <v>Form 1120-REIT, Pg 1, Ln 1</v>
      </c>
      <c r="D189" s="46">
        <f t="shared" si="14"/>
        <v>4</v>
      </c>
      <c r="E189" s="151" t="s">
        <v>702</v>
      </c>
      <c r="F189" s="138" t="s">
        <v>761</v>
      </c>
      <c r="G189" s="138" t="s">
        <v>761</v>
      </c>
      <c r="H189" s="138" t="s">
        <v>761</v>
      </c>
      <c r="I189" s="138" t="s">
        <v>761</v>
      </c>
      <c r="J189" s="141" t="s">
        <v>761</v>
      </c>
      <c r="K189" s="141" t="s">
        <v>761</v>
      </c>
      <c r="L189" s="141" t="s">
        <v>761</v>
      </c>
      <c r="M189" s="141" t="s">
        <v>761</v>
      </c>
      <c r="N189" s="141" t="s">
        <v>761</v>
      </c>
      <c r="O189" s="613" t="s">
        <v>761</v>
      </c>
      <c r="P189" s="683" t="s">
        <v>761</v>
      </c>
      <c r="Q189" s="697" t="s">
        <v>761</v>
      </c>
      <c r="R189" s="141" t="s">
        <v>761</v>
      </c>
      <c r="S189" s="141" t="s">
        <v>761</v>
      </c>
      <c r="T189" s="141" t="s">
        <v>761</v>
      </c>
      <c r="U189" s="141" t="s">
        <v>761</v>
      </c>
    </row>
    <row r="190" spans="1:21" x14ac:dyDescent="0.2">
      <c r="A190">
        <f t="shared" si="10"/>
        <v>186</v>
      </c>
      <c r="B190" s="40" t="s">
        <v>11</v>
      </c>
      <c r="C190" s="148" t="str">
        <f t="shared" si="13"/>
        <v xml:space="preserve"> Part of 1120-REIT, Pg 1, Ln 7</v>
      </c>
      <c r="D190" s="46">
        <f t="shared" si="14"/>
        <v>5</v>
      </c>
      <c r="E190" s="151" t="s">
        <v>702</v>
      </c>
      <c r="F190" s="138" t="s">
        <v>1119</v>
      </c>
      <c r="G190" s="138" t="s">
        <v>1119</v>
      </c>
      <c r="H190" s="138" t="s">
        <v>1119</v>
      </c>
      <c r="I190" s="138" t="s">
        <v>1119</v>
      </c>
      <c r="J190" s="141" t="s">
        <v>1119</v>
      </c>
      <c r="K190" s="141" t="s">
        <v>1119</v>
      </c>
      <c r="L190" s="141" t="s">
        <v>1119</v>
      </c>
      <c r="M190" s="141" t="s">
        <v>1119</v>
      </c>
      <c r="N190" s="141" t="s">
        <v>1119</v>
      </c>
      <c r="O190" s="613" t="s">
        <v>1119</v>
      </c>
      <c r="P190" s="683" t="s">
        <v>1119</v>
      </c>
      <c r="Q190" s="697" t="s">
        <v>1119</v>
      </c>
      <c r="R190" s="141" t="s">
        <v>1119</v>
      </c>
      <c r="S190" s="141" t="s">
        <v>1119</v>
      </c>
      <c r="T190" s="141" t="s">
        <v>1119</v>
      </c>
      <c r="U190" s="141" t="s">
        <v>1119</v>
      </c>
    </row>
    <row r="191" spans="1:21" x14ac:dyDescent="0.2">
      <c r="A191">
        <f t="shared" si="10"/>
        <v>187</v>
      </c>
      <c r="B191" s="40" t="s">
        <v>112</v>
      </c>
      <c r="C191" s="148" t="str">
        <f t="shared" si="13"/>
        <v>Part of 1120-REIT, Pg 1, Ln 7</v>
      </c>
      <c r="D191" s="46">
        <f t="shared" si="14"/>
        <v>6</v>
      </c>
      <c r="E191" s="151" t="s">
        <v>702</v>
      </c>
      <c r="F191" s="142" t="s">
        <v>117</v>
      </c>
      <c r="G191" s="142" t="s">
        <v>117</v>
      </c>
      <c r="H191" s="142" t="s">
        <v>117</v>
      </c>
      <c r="I191" s="142" t="s">
        <v>117</v>
      </c>
      <c r="J191" s="349" t="s">
        <v>117</v>
      </c>
      <c r="K191" s="349" t="s">
        <v>117</v>
      </c>
      <c r="L191" s="349" t="s">
        <v>117</v>
      </c>
      <c r="M191" s="349" t="s">
        <v>117</v>
      </c>
      <c r="N191" s="349" t="s">
        <v>117</v>
      </c>
      <c r="O191" s="614" t="s">
        <v>117</v>
      </c>
      <c r="P191" s="682" t="s">
        <v>117</v>
      </c>
      <c r="Q191" s="696" t="s">
        <v>117</v>
      </c>
      <c r="R191" s="349" t="s">
        <v>117</v>
      </c>
      <c r="S191" s="349" t="s">
        <v>117</v>
      </c>
      <c r="T191" s="349" t="s">
        <v>117</v>
      </c>
      <c r="U191" s="349" t="s">
        <v>117</v>
      </c>
    </row>
    <row r="192" spans="1:21" x14ac:dyDescent="0.2">
      <c r="A192">
        <f t="shared" si="10"/>
        <v>188</v>
      </c>
      <c r="B192" s="40" t="s">
        <v>1201</v>
      </c>
      <c r="C192" s="148" t="str">
        <f t="shared" si="13"/>
        <v>Form 1120-REIT, Page 1, Ln 9</v>
      </c>
      <c r="D192" s="46">
        <f t="shared" si="14"/>
        <v>7</v>
      </c>
      <c r="E192" s="151" t="s">
        <v>702</v>
      </c>
      <c r="F192" s="138" t="s">
        <v>1214</v>
      </c>
      <c r="G192" s="138" t="s">
        <v>1214</v>
      </c>
      <c r="H192" s="138" t="s">
        <v>1214</v>
      </c>
      <c r="I192" s="138" t="s">
        <v>1214</v>
      </c>
      <c r="J192" s="141" t="s">
        <v>1214</v>
      </c>
      <c r="K192" s="141" t="s">
        <v>1214</v>
      </c>
      <c r="L192" s="141" t="s">
        <v>1214</v>
      </c>
      <c r="M192" s="141" t="s">
        <v>1214</v>
      </c>
      <c r="N192" s="141" t="s">
        <v>1214</v>
      </c>
      <c r="O192" s="613" t="s">
        <v>1214</v>
      </c>
      <c r="P192" s="683" t="s">
        <v>1214</v>
      </c>
      <c r="Q192" s="697" t="s">
        <v>1214</v>
      </c>
      <c r="R192" s="141" t="s">
        <v>1214</v>
      </c>
      <c r="S192" s="141" t="s">
        <v>1214</v>
      </c>
      <c r="T192" s="141" t="s">
        <v>1214</v>
      </c>
      <c r="U192" s="141" t="s">
        <v>1214</v>
      </c>
    </row>
    <row r="193" spans="1:21" x14ac:dyDescent="0.2">
      <c r="A193">
        <f t="shared" si="10"/>
        <v>189</v>
      </c>
      <c r="B193" s="40" t="s">
        <v>1202</v>
      </c>
      <c r="C193" s="148" t="str">
        <f t="shared" si="13"/>
        <v>Form 1120-REIT, Page 1, Ln 10</v>
      </c>
      <c r="D193" s="46">
        <f t="shared" si="14"/>
        <v>8</v>
      </c>
      <c r="E193" s="151" t="s">
        <v>702</v>
      </c>
      <c r="F193" s="138" t="s">
        <v>1238</v>
      </c>
      <c r="G193" s="138" t="s">
        <v>1238</v>
      </c>
      <c r="H193" s="138" t="s">
        <v>1238</v>
      </c>
      <c r="I193" s="138" t="s">
        <v>1238</v>
      </c>
      <c r="J193" s="141" t="s">
        <v>1238</v>
      </c>
      <c r="K193" s="141" t="s">
        <v>1238</v>
      </c>
      <c r="L193" s="141" t="s">
        <v>1238</v>
      </c>
      <c r="M193" s="141" t="s">
        <v>1238</v>
      </c>
      <c r="N193" s="141" t="s">
        <v>1238</v>
      </c>
      <c r="O193" s="613" t="s">
        <v>1238</v>
      </c>
      <c r="P193" s="683" t="s">
        <v>1238</v>
      </c>
      <c r="Q193" s="697" t="s">
        <v>1238</v>
      </c>
      <c r="R193" s="141" t="s">
        <v>1238</v>
      </c>
      <c r="S193" s="141" t="s">
        <v>1238</v>
      </c>
      <c r="T193" s="141" t="s">
        <v>1238</v>
      </c>
      <c r="U193" s="141" t="s">
        <v>1238</v>
      </c>
    </row>
    <row r="194" spans="1:21" x14ac:dyDescent="0.2">
      <c r="A194">
        <f t="shared" si="10"/>
        <v>190</v>
      </c>
      <c r="B194" s="40" t="s">
        <v>1203</v>
      </c>
      <c r="C194" s="148" t="str">
        <f t="shared" si="13"/>
        <v>Not Applicable</v>
      </c>
      <c r="D194" s="46">
        <f t="shared" si="14"/>
        <v>9</v>
      </c>
      <c r="E194" s="151" t="s">
        <v>702</v>
      </c>
      <c r="F194" s="138" t="s">
        <v>683</v>
      </c>
      <c r="G194" s="138" t="s">
        <v>683</v>
      </c>
      <c r="H194" s="138" t="s">
        <v>683</v>
      </c>
      <c r="I194" s="138" t="s">
        <v>683</v>
      </c>
      <c r="J194" s="138" t="s">
        <v>683</v>
      </c>
      <c r="K194" s="138" t="s">
        <v>683</v>
      </c>
      <c r="L194" s="138" t="s">
        <v>683</v>
      </c>
      <c r="M194" s="138" t="s">
        <v>683</v>
      </c>
      <c r="N194" s="138" t="s">
        <v>683</v>
      </c>
      <c r="O194" s="613" t="s">
        <v>683</v>
      </c>
      <c r="P194" s="683" t="s">
        <v>683</v>
      </c>
      <c r="Q194" s="138" t="s">
        <v>683</v>
      </c>
      <c r="R194" s="138" t="s">
        <v>683</v>
      </c>
      <c r="S194" s="138" t="s">
        <v>683</v>
      </c>
      <c r="T194" s="732" t="s">
        <v>683</v>
      </c>
      <c r="U194" s="747" t="s">
        <v>683</v>
      </c>
    </row>
    <row r="195" spans="1:21" x14ac:dyDescent="0.2">
      <c r="A195">
        <f t="shared" si="10"/>
        <v>191</v>
      </c>
      <c r="B195" s="40" t="s">
        <v>1204</v>
      </c>
      <c r="C195" s="148" t="str">
        <f t="shared" si="13"/>
        <v>Various</v>
      </c>
      <c r="D195" s="46">
        <f t="shared" si="14"/>
        <v>10</v>
      </c>
      <c r="E195" s="151" t="s">
        <v>702</v>
      </c>
      <c r="F195" s="138" t="s">
        <v>752</v>
      </c>
      <c r="G195" s="138" t="s">
        <v>752</v>
      </c>
      <c r="H195" s="138" t="s">
        <v>752</v>
      </c>
      <c r="I195" s="138" t="s">
        <v>752</v>
      </c>
      <c r="J195" s="138" t="s">
        <v>752</v>
      </c>
      <c r="K195" s="138" t="s">
        <v>752</v>
      </c>
      <c r="L195" s="138" t="s">
        <v>752</v>
      </c>
      <c r="M195" s="138" t="s">
        <v>752</v>
      </c>
      <c r="N195" s="138" t="s">
        <v>752</v>
      </c>
      <c r="O195" s="613" t="s">
        <v>752</v>
      </c>
      <c r="P195" s="683" t="s">
        <v>752</v>
      </c>
      <c r="Q195" s="138" t="s">
        <v>752</v>
      </c>
      <c r="R195" s="138" t="s">
        <v>752</v>
      </c>
      <c r="S195" s="138" t="s">
        <v>752</v>
      </c>
      <c r="T195" s="732" t="s">
        <v>752</v>
      </c>
      <c r="U195" s="747" t="s">
        <v>752</v>
      </c>
    </row>
    <row r="196" spans="1:21" x14ac:dyDescent="0.2">
      <c r="A196">
        <f t="shared" si="10"/>
        <v>192</v>
      </c>
      <c r="B196" s="40" t="s">
        <v>1322</v>
      </c>
      <c r="C196" s="148" t="str">
        <f t="shared" si="13"/>
        <v>Part of 1120-REIT, Pg 1, Ln 13</v>
      </c>
      <c r="D196" s="46">
        <f t="shared" si="14"/>
        <v>11</v>
      </c>
      <c r="E196" s="151" t="s">
        <v>702</v>
      </c>
      <c r="F196" s="142" t="s">
        <v>1331</v>
      </c>
      <c r="G196" s="142" t="s">
        <v>1331</v>
      </c>
      <c r="H196" s="142" t="s">
        <v>1331</v>
      </c>
      <c r="I196" s="142" t="s">
        <v>1331</v>
      </c>
      <c r="J196" s="349" t="s">
        <v>1331</v>
      </c>
      <c r="K196" s="349" t="s">
        <v>1331</v>
      </c>
      <c r="L196" s="349" t="s">
        <v>1331</v>
      </c>
      <c r="M196" s="349" t="s">
        <v>1331</v>
      </c>
      <c r="N196" s="349" t="s">
        <v>1331</v>
      </c>
      <c r="O196" s="614" t="s">
        <v>1331</v>
      </c>
      <c r="P196" s="682" t="s">
        <v>1331</v>
      </c>
      <c r="Q196" s="696" t="s">
        <v>1331</v>
      </c>
      <c r="R196" s="349" t="s">
        <v>1331</v>
      </c>
      <c r="S196" s="349" t="s">
        <v>1331</v>
      </c>
      <c r="T196" s="349" t="s">
        <v>1331</v>
      </c>
      <c r="U196" s="349" t="s">
        <v>1331</v>
      </c>
    </row>
    <row r="197" spans="1:21" x14ac:dyDescent="0.2">
      <c r="A197">
        <f t="shared" si="10"/>
        <v>193</v>
      </c>
      <c r="B197" s="40" t="s">
        <v>1325</v>
      </c>
      <c r="C197" s="148" t="str">
        <f t="shared" si="13"/>
        <v>Various</v>
      </c>
      <c r="D197" s="46">
        <f t="shared" si="14"/>
        <v>12</v>
      </c>
      <c r="E197" s="151" t="s">
        <v>702</v>
      </c>
      <c r="F197" s="142" t="s">
        <v>683</v>
      </c>
      <c r="G197" s="138" t="s">
        <v>752</v>
      </c>
      <c r="H197" s="138" t="s">
        <v>752</v>
      </c>
      <c r="I197" s="138" t="s">
        <v>752</v>
      </c>
      <c r="J197" s="138" t="s">
        <v>752</v>
      </c>
      <c r="K197" s="138" t="s">
        <v>752</v>
      </c>
      <c r="L197" s="138" t="s">
        <v>752</v>
      </c>
      <c r="M197" s="138" t="s">
        <v>752</v>
      </c>
      <c r="N197" s="138" t="s">
        <v>752</v>
      </c>
      <c r="O197" s="613" t="s">
        <v>752</v>
      </c>
      <c r="P197" s="683" t="s">
        <v>752</v>
      </c>
      <c r="Q197" s="138" t="s">
        <v>752</v>
      </c>
      <c r="R197" s="138" t="s">
        <v>752</v>
      </c>
      <c r="S197" s="138" t="s">
        <v>752</v>
      </c>
      <c r="T197" s="732" t="s">
        <v>752</v>
      </c>
      <c r="U197" s="747" t="s">
        <v>752</v>
      </c>
    </row>
    <row r="198" spans="1:21" ht="24.95" customHeight="1" x14ac:dyDescent="0.2">
      <c r="A198">
        <f t="shared" si="10"/>
        <v>194</v>
      </c>
      <c r="B198" s="45" t="s">
        <v>1266</v>
      </c>
      <c r="C198" s="148" t="str">
        <f t="shared" si="13"/>
        <v>Part of 1120-REIT, Pg 1, Ln 14</v>
      </c>
      <c r="D198" s="46">
        <f t="shared" si="14"/>
        <v>13</v>
      </c>
      <c r="E198" s="151" t="s">
        <v>702</v>
      </c>
      <c r="F198" s="155" t="s">
        <v>1268</v>
      </c>
      <c r="G198" s="155" t="s">
        <v>1268</v>
      </c>
      <c r="H198" s="155" t="s">
        <v>1268</v>
      </c>
      <c r="I198" s="155" t="s">
        <v>1268</v>
      </c>
      <c r="J198" s="155" t="s">
        <v>1268</v>
      </c>
      <c r="K198" s="349" t="s">
        <v>1268</v>
      </c>
      <c r="L198" s="349" t="s">
        <v>1268</v>
      </c>
      <c r="M198" s="349" t="s">
        <v>1268</v>
      </c>
      <c r="N198" s="349" t="s">
        <v>1268</v>
      </c>
      <c r="O198" s="614" t="s">
        <v>1268</v>
      </c>
      <c r="P198" s="682" t="s">
        <v>1268</v>
      </c>
      <c r="Q198" s="696" t="s">
        <v>1268</v>
      </c>
      <c r="R198" s="349" t="s">
        <v>1268</v>
      </c>
      <c r="S198" s="349" t="s">
        <v>1268</v>
      </c>
      <c r="T198" s="349" t="s">
        <v>1268</v>
      </c>
      <c r="U198" s="349" t="s">
        <v>1268</v>
      </c>
    </row>
    <row r="199" spans="1:21" x14ac:dyDescent="0.2">
      <c r="A199">
        <f t="shared" si="10"/>
        <v>195</v>
      </c>
      <c r="B199" s="45" t="s">
        <v>110</v>
      </c>
      <c r="C199" s="148" t="str">
        <f t="shared" si="13"/>
        <v>No guidance available</v>
      </c>
      <c r="D199" s="46">
        <f t="shared" si="14"/>
        <v>14</v>
      </c>
      <c r="E199" s="151" t="s">
        <v>702</v>
      </c>
      <c r="F199" s="141" t="s">
        <v>764</v>
      </c>
      <c r="G199" s="141" t="s">
        <v>764</v>
      </c>
      <c r="H199" s="141" t="s">
        <v>764</v>
      </c>
      <c r="I199" s="141" t="s">
        <v>764</v>
      </c>
      <c r="J199" s="352" t="s">
        <v>764</v>
      </c>
      <c r="K199" s="141" t="s">
        <v>764</v>
      </c>
      <c r="L199" s="141" t="s">
        <v>764</v>
      </c>
      <c r="M199" s="141" t="s">
        <v>764</v>
      </c>
      <c r="N199" s="141" t="s">
        <v>764</v>
      </c>
      <c r="O199" s="613" t="s">
        <v>764</v>
      </c>
      <c r="P199" s="683" t="s">
        <v>764</v>
      </c>
      <c r="Q199" s="141" t="s">
        <v>764</v>
      </c>
      <c r="R199" s="141" t="s">
        <v>764</v>
      </c>
      <c r="S199" s="141" t="s">
        <v>764</v>
      </c>
      <c r="T199" s="141" t="s">
        <v>764</v>
      </c>
      <c r="U199" s="141" t="s">
        <v>764</v>
      </c>
    </row>
    <row r="200" spans="1:21" x14ac:dyDescent="0.2">
      <c r="A200">
        <f t="shared" si="10"/>
        <v>196</v>
      </c>
      <c r="B200" s="45" t="s">
        <v>111</v>
      </c>
      <c r="C200" s="148" t="str">
        <f t="shared" si="13"/>
        <v>No guidance available</v>
      </c>
      <c r="D200" s="46">
        <f t="shared" si="14"/>
        <v>15</v>
      </c>
      <c r="E200" s="151" t="s">
        <v>702</v>
      </c>
      <c r="F200" s="141" t="s">
        <v>764</v>
      </c>
      <c r="G200" s="141" t="s">
        <v>764</v>
      </c>
      <c r="H200" s="141" t="s">
        <v>764</v>
      </c>
      <c r="I200" s="141" t="s">
        <v>764</v>
      </c>
      <c r="J200" s="352" t="s">
        <v>764</v>
      </c>
      <c r="K200" s="141" t="s">
        <v>764</v>
      </c>
      <c r="L200" s="141" t="s">
        <v>764</v>
      </c>
      <c r="M200" s="141" t="s">
        <v>764</v>
      </c>
      <c r="N200" s="141" t="s">
        <v>764</v>
      </c>
      <c r="O200" s="613" t="s">
        <v>764</v>
      </c>
      <c r="P200" s="683" t="s">
        <v>764</v>
      </c>
      <c r="Q200" s="141" t="s">
        <v>764</v>
      </c>
      <c r="R200" s="141" t="s">
        <v>764</v>
      </c>
      <c r="S200" s="141" t="s">
        <v>764</v>
      </c>
      <c r="T200" s="141" t="s">
        <v>764</v>
      </c>
      <c r="U200" s="141" t="s">
        <v>764</v>
      </c>
    </row>
    <row r="201" spans="1:21" x14ac:dyDescent="0.2">
      <c r="A201">
        <f t="shared" si="10"/>
        <v>197</v>
      </c>
      <c r="B201" s="85" t="s">
        <v>1302</v>
      </c>
      <c r="C201" s="148" t="str">
        <f t="shared" si="13"/>
        <v>1120-REIT, Sched L, Ln 9a(a)</v>
      </c>
      <c r="D201" s="46">
        <f t="shared" si="14"/>
        <v>16</v>
      </c>
      <c r="E201" s="151" t="s">
        <v>702</v>
      </c>
      <c r="F201" s="148" t="s">
        <v>175</v>
      </c>
      <c r="G201" s="148" t="s">
        <v>175</v>
      </c>
      <c r="H201" s="148" t="s">
        <v>175</v>
      </c>
      <c r="I201" s="142" t="s">
        <v>175</v>
      </c>
      <c r="J201" s="349" t="s">
        <v>175</v>
      </c>
      <c r="K201" s="349" t="s">
        <v>175</v>
      </c>
      <c r="L201" s="349" t="s">
        <v>175</v>
      </c>
      <c r="M201" s="349" t="s">
        <v>175</v>
      </c>
      <c r="N201" s="349" t="s">
        <v>175</v>
      </c>
      <c r="O201" s="614" t="s">
        <v>175</v>
      </c>
      <c r="P201" s="682" t="s">
        <v>175</v>
      </c>
      <c r="Q201" s="696" t="s">
        <v>175</v>
      </c>
      <c r="R201" s="349" t="s">
        <v>175</v>
      </c>
      <c r="S201" s="349" t="s">
        <v>175</v>
      </c>
      <c r="T201" s="349" t="s">
        <v>175</v>
      </c>
      <c r="U201" s="349" t="s">
        <v>175</v>
      </c>
    </row>
    <row r="202" spans="1:21" x14ac:dyDescent="0.2">
      <c r="A202">
        <f t="shared" ref="A202:A255" si="15">+A201+1</f>
        <v>198</v>
      </c>
      <c r="B202" s="85" t="s">
        <v>1321</v>
      </c>
      <c r="C202" s="148" t="str">
        <f t="shared" si="13"/>
        <v>1120-REIT, Sched L, Ln 9a(c)</v>
      </c>
      <c r="D202" s="46">
        <f t="shared" si="14"/>
        <v>17</v>
      </c>
      <c r="E202" s="151" t="s">
        <v>702</v>
      </c>
      <c r="F202" s="148" t="s">
        <v>176</v>
      </c>
      <c r="G202" s="148" t="s">
        <v>176</v>
      </c>
      <c r="H202" s="148" t="s">
        <v>176</v>
      </c>
      <c r="I202" s="142" t="s">
        <v>176</v>
      </c>
      <c r="J202" s="349" t="s">
        <v>176</v>
      </c>
      <c r="K202" s="349" t="s">
        <v>176</v>
      </c>
      <c r="L202" s="349" t="s">
        <v>176</v>
      </c>
      <c r="M202" s="349" t="s">
        <v>176</v>
      </c>
      <c r="N202" s="349" t="s">
        <v>176</v>
      </c>
      <c r="O202" s="614" t="s">
        <v>176</v>
      </c>
      <c r="P202" s="682" t="s">
        <v>176</v>
      </c>
      <c r="Q202" s="696" t="s">
        <v>176</v>
      </c>
      <c r="R202" s="349" t="s">
        <v>176</v>
      </c>
      <c r="S202" s="349" t="s">
        <v>176</v>
      </c>
      <c r="T202" s="349" t="s">
        <v>176</v>
      </c>
      <c r="U202" s="349" t="s">
        <v>176</v>
      </c>
    </row>
    <row r="203" spans="1:21" x14ac:dyDescent="0.2">
      <c r="A203">
        <f t="shared" si="15"/>
        <v>199</v>
      </c>
      <c r="B203" s="85" t="s">
        <v>1303</v>
      </c>
      <c r="C203" s="148" t="str">
        <f t="shared" si="13"/>
        <v>Included in lines above</v>
      </c>
      <c r="D203" s="46">
        <f t="shared" si="14"/>
        <v>18</v>
      </c>
      <c r="E203" s="151" t="s">
        <v>702</v>
      </c>
      <c r="F203" s="142" t="s">
        <v>1330</v>
      </c>
      <c r="G203" s="142" t="s">
        <v>1330</v>
      </c>
      <c r="H203" s="142" t="s">
        <v>1330</v>
      </c>
      <c r="I203" s="142" t="s">
        <v>1330</v>
      </c>
      <c r="J203" s="349" t="s">
        <v>1330</v>
      </c>
      <c r="K203" s="349" t="s">
        <v>1330</v>
      </c>
      <c r="L203" s="349" t="s">
        <v>1330</v>
      </c>
      <c r="M203" s="349" t="s">
        <v>1330</v>
      </c>
      <c r="N203" s="349" t="s">
        <v>1330</v>
      </c>
      <c r="O203" s="614" t="s">
        <v>1330</v>
      </c>
      <c r="P203" s="682" t="s">
        <v>1330</v>
      </c>
      <c r="Q203" s="349" t="s">
        <v>1330</v>
      </c>
      <c r="R203" s="349" t="s">
        <v>1330</v>
      </c>
      <c r="S203" s="349" t="s">
        <v>1330</v>
      </c>
      <c r="T203" s="349" t="s">
        <v>1330</v>
      </c>
      <c r="U203" s="349" t="s">
        <v>1330</v>
      </c>
    </row>
    <row r="204" spans="1:21" x14ac:dyDescent="0.2">
      <c r="A204">
        <f t="shared" si="15"/>
        <v>200</v>
      </c>
      <c r="B204" s="85" t="s">
        <v>1306</v>
      </c>
      <c r="C204" s="148" t="str">
        <f t="shared" si="13"/>
        <v>Included in lines above</v>
      </c>
      <c r="D204" s="46">
        <f t="shared" si="14"/>
        <v>19</v>
      </c>
      <c r="E204" s="151" t="s">
        <v>702</v>
      </c>
      <c r="F204" s="142" t="s">
        <v>1330</v>
      </c>
      <c r="G204" s="142" t="s">
        <v>1330</v>
      </c>
      <c r="H204" s="142" t="s">
        <v>1330</v>
      </c>
      <c r="I204" s="142" t="s">
        <v>1330</v>
      </c>
      <c r="J204" s="349" t="s">
        <v>1330</v>
      </c>
      <c r="K204" s="349" t="s">
        <v>1330</v>
      </c>
      <c r="L204" s="349" t="s">
        <v>1330</v>
      </c>
      <c r="M204" s="349" t="s">
        <v>1330</v>
      </c>
      <c r="N204" s="349" t="s">
        <v>1330</v>
      </c>
      <c r="O204" s="614" t="s">
        <v>1330</v>
      </c>
      <c r="P204" s="682" t="s">
        <v>1330</v>
      </c>
      <c r="Q204" s="349" t="s">
        <v>1330</v>
      </c>
      <c r="R204" s="349" t="s">
        <v>1330</v>
      </c>
      <c r="S204" s="349" t="s">
        <v>1330</v>
      </c>
      <c r="T204" s="349" t="s">
        <v>1330</v>
      </c>
      <c r="U204" s="349" t="s">
        <v>1330</v>
      </c>
    </row>
    <row r="205" spans="1:21" x14ac:dyDescent="0.2">
      <c r="A205">
        <f t="shared" si="15"/>
        <v>201</v>
      </c>
      <c r="B205" s="85" t="s">
        <v>1304</v>
      </c>
      <c r="C205" s="148" t="str">
        <f t="shared" si="13"/>
        <v>1120-REIT, Sched L, Ln 10(b)</v>
      </c>
      <c r="D205" s="46">
        <f t="shared" si="14"/>
        <v>20</v>
      </c>
      <c r="E205" s="151" t="s">
        <v>702</v>
      </c>
      <c r="F205" s="148" t="s">
        <v>177</v>
      </c>
      <c r="G205" s="148" t="s">
        <v>177</v>
      </c>
      <c r="H205" s="148" t="s">
        <v>177</v>
      </c>
      <c r="I205" s="142" t="s">
        <v>177</v>
      </c>
      <c r="J205" s="349" t="s">
        <v>177</v>
      </c>
      <c r="K205" s="349" t="s">
        <v>177</v>
      </c>
      <c r="L205" s="349" t="s">
        <v>177</v>
      </c>
      <c r="M205" s="349" t="s">
        <v>177</v>
      </c>
      <c r="N205" s="349" t="s">
        <v>177</v>
      </c>
      <c r="O205" s="614" t="s">
        <v>177</v>
      </c>
      <c r="P205" s="682" t="s">
        <v>177</v>
      </c>
      <c r="Q205" s="696" t="s">
        <v>177</v>
      </c>
      <c r="R205" s="349" t="s">
        <v>177</v>
      </c>
      <c r="S205" s="349" t="s">
        <v>177</v>
      </c>
      <c r="T205" s="349" t="s">
        <v>177</v>
      </c>
      <c r="U205" s="349" t="s">
        <v>177</v>
      </c>
    </row>
    <row r="206" spans="1:21" x14ac:dyDescent="0.2">
      <c r="A206">
        <f t="shared" si="15"/>
        <v>202</v>
      </c>
      <c r="B206" s="85" t="s">
        <v>1305</v>
      </c>
      <c r="C206" s="148" t="str">
        <f t="shared" si="13"/>
        <v>1120-REIT, Sched L, Ln 10(d)</v>
      </c>
      <c r="D206" s="46">
        <f t="shared" si="14"/>
        <v>21</v>
      </c>
      <c r="E206" s="151" t="s">
        <v>702</v>
      </c>
      <c r="F206" s="148" t="s">
        <v>178</v>
      </c>
      <c r="G206" s="148" t="s">
        <v>178</v>
      </c>
      <c r="H206" s="148" t="s">
        <v>178</v>
      </c>
      <c r="I206" s="142" t="s">
        <v>178</v>
      </c>
      <c r="J206" s="349" t="s">
        <v>178</v>
      </c>
      <c r="K206" s="349" t="s">
        <v>178</v>
      </c>
      <c r="L206" s="349" t="s">
        <v>178</v>
      </c>
      <c r="M206" s="349" t="s">
        <v>178</v>
      </c>
      <c r="N206" s="349" t="s">
        <v>178</v>
      </c>
      <c r="O206" s="614" t="s">
        <v>178</v>
      </c>
      <c r="P206" s="682" t="s">
        <v>178</v>
      </c>
      <c r="Q206" s="696" t="s">
        <v>178</v>
      </c>
      <c r="R206" s="349" t="s">
        <v>178</v>
      </c>
      <c r="S206" s="349" t="s">
        <v>178</v>
      </c>
      <c r="T206" s="349" t="s">
        <v>178</v>
      </c>
      <c r="U206" s="349" t="s">
        <v>178</v>
      </c>
    </row>
    <row r="207" spans="1:21" x14ac:dyDescent="0.2">
      <c r="A207">
        <f t="shared" si="15"/>
        <v>203</v>
      </c>
      <c r="B207" s="40" t="s">
        <v>23</v>
      </c>
      <c r="C207" s="148" t="str">
        <f t="shared" si="13"/>
        <v>Sched D, Part I, Ln 7</v>
      </c>
      <c r="D207" s="46">
        <f t="shared" si="14"/>
        <v>22</v>
      </c>
      <c r="E207" s="151" t="s">
        <v>702</v>
      </c>
      <c r="F207" s="138" t="s">
        <v>753</v>
      </c>
      <c r="G207" s="138" t="s">
        <v>753</v>
      </c>
      <c r="H207" s="138" t="s">
        <v>753</v>
      </c>
      <c r="I207" s="141" t="s">
        <v>753</v>
      </c>
      <c r="J207" s="351" t="s">
        <v>753</v>
      </c>
      <c r="K207" s="138" t="s">
        <v>357</v>
      </c>
      <c r="L207" s="138" t="s">
        <v>357</v>
      </c>
      <c r="M207" s="138" t="s">
        <v>357</v>
      </c>
      <c r="N207" s="138" t="s">
        <v>922</v>
      </c>
      <c r="O207" s="613" t="s">
        <v>922</v>
      </c>
      <c r="P207" s="683" t="s">
        <v>922</v>
      </c>
      <c r="Q207" s="697" t="s">
        <v>922</v>
      </c>
      <c r="R207" s="138" t="s">
        <v>922</v>
      </c>
      <c r="S207" s="138" t="s">
        <v>922</v>
      </c>
      <c r="T207" s="732" t="s">
        <v>922</v>
      </c>
      <c r="U207" s="747" t="s">
        <v>922</v>
      </c>
    </row>
    <row r="208" spans="1:21" x14ac:dyDescent="0.2">
      <c r="A208">
        <f t="shared" si="15"/>
        <v>204</v>
      </c>
      <c r="B208" s="40" t="s">
        <v>24</v>
      </c>
      <c r="C208" s="148" t="str">
        <f t="shared" si="13"/>
        <v>Sched D, Part II, Ln 15 less Ln 11</v>
      </c>
      <c r="D208" s="46">
        <f t="shared" si="14"/>
        <v>23</v>
      </c>
      <c r="E208" s="151" t="s">
        <v>702</v>
      </c>
      <c r="F208" s="138" t="s">
        <v>755</v>
      </c>
      <c r="G208" s="138" t="s">
        <v>755</v>
      </c>
      <c r="H208" s="138" t="s">
        <v>755</v>
      </c>
      <c r="I208" s="141" t="s">
        <v>755</v>
      </c>
      <c r="J208" s="351" t="s">
        <v>755</v>
      </c>
      <c r="K208" s="138" t="s">
        <v>1171</v>
      </c>
      <c r="L208" s="138" t="s">
        <v>1171</v>
      </c>
      <c r="M208" s="138" t="s">
        <v>1171</v>
      </c>
      <c r="N208" s="138" t="s">
        <v>923</v>
      </c>
      <c r="O208" s="683" t="s">
        <v>1465</v>
      </c>
      <c r="P208" s="683" t="s">
        <v>1465</v>
      </c>
      <c r="Q208" s="697" t="s">
        <v>1465</v>
      </c>
      <c r="R208" s="141" t="s">
        <v>1465</v>
      </c>
      <c r="S208" s="141" t="s">
        <v>1465</v>
      </c>
      <c r="T208" s="141" t="s">
        <v>1465</v>
      </c>
      <c r="U208" s="141" t="s">
        <v>1465</v>
      </c>
    </row>
    <row r="209" spans="1:21" x14ac:dyDescent="0.2">
      <c r="A209">
        <f t="shared" si="15"/>
        <v>205</v>
      </c>
      <c r="B209" s="40" t="s">
        <v>25</v>
      </c>
      <c r="C209" s="148" t="str">
        <f t="shared" si="13"/>
        <v>4797, Part I, Ln 7</v>
      </c>
      <c r="D209" s="46">
        <f t="shared" si="14"/>
        <v>24</v>
      </c>
      <c r="E209" s="151" t="s">
        <v>702</v>
      </c>
      <c r="F209" s="138" t="s">
        <v>688</v>
      </c>
      <c r="G209" s="138" t="s">
        <v>688</v>
      </c>
      <c r="H209" s="138" t="s">
        <v>688</v>
      </c>
      <c r="I209" s="138" t="s">
        <v>688</v>
      </c>
      <c r="J209" s="138" t="s">
        <v>688</v>
      </c>
      <c r="K209" s="138" t="s">
        <v>688</v>
      </c>
      <c r="L209" s="138" t="s">
        <v>688</v>
      </c>
      <c r="M209" s="138" t="s">
        <v>688</v>
      </c>
      <c r="N209" s="138" t="s">
        <v>688</v>
      </c>
      <c r="O209" s="613" t="s">
        <v>688</v>
      </c>
      <c r="P209" s="683" t="s">
        <v>688</v>
      </c>
      <c r="Q209" s="697" t="s">
        <v>688</v>
      </c>
      <c r="R209" s="141" t="s">
        <v>688</v>
      </c>
      <c r="S209" s="141" t="s">
        <v>688</v>
      </c>
      <c r="T209" s="141" t="s">
        <v>688</v>
      </c>
      <c r="U209" s="141" t="s">
        <v>688</v>
      </c>
    </row>
    <row r="210" spans="1:21" x14ac:dyDescent="0.2">
      <c r="A210">
        <f t="shared" si="15"/>
        <v>206</v>
      </c>
      <c r="B210" s="40" t="s">
        <v>26</v>
      </c>
      <c r="C210" s="148" t="str">
        <f t="shared" si="13"/>
        <v>4562, Part I, Ln 12</v>
      </c>
      <c r="D210" s="46">
        <f t="shared" si="14"/>
        <v>25</v>
      </c>
      <c r="E210" s="151" t="s">
        <v>702</v>
      </c>
      <c r="F210" s="141" t="s">
        <v>689</v>
      </c>
      <c r="G210" s="141" t="s">
        <v>689</v>
      </c>
      <c r="H210" s="141" t="s">
        <v>689</v>
      </c>
      <c r="I210" s="141" t="s">
        <v>689</v>
      </c>
      <c r="J210" s="141" t="s">
        <v>689</v>
      </c>
      <c r="K210" s="141" t="s">
        <v>689</v>
      </c>
      <c r="L210" s="141" t="s">
        <v>689</v>
      </c>
      <c r="M210" s="141" t="s">
        <v>689</v>
      </c>
      <c r="N210" s="141" t="s">
        <v>689</v>
      </c>
      <c r="O210" s="613" t="s">
        <v>689</v>
      </c>
      <c r="P210" s="683" t="s">
        <v>689</v>
      </c>
      <c r="Q210" s="697" t="s">
        <v>689</v>
      </c>
      <c r="R210" s="141" t="s">
        <v>689</v>
      </c>
      <c r="S210" s="141" t="s">
        <v>689</v>
      </c>
      <c r="T210" s="141" t="s">
        <v>689</v>
      </c>
      <c r="U210" s="141" t="s">
        <v>689</v>
      </c>
    </row>
    <row r="211" spans="1:21" x14ac:dyDescent="0.2">
      <c r="A211">
        <f t="shared" si="15"/>
        <v>207</v>
      </c>
      <c r="B211" s="40" t="s">
        <v>361</v>
      </c>
      <c r="C211" s="148" t="str">
        <f t="shared" si="13"/>
        <v>4562, Part I, Ln 13</v>
      </c>
      <c r="D211" s="46">
        <f t="shared" si="14"/>
        <v>26</v>
      </c>
      <c r="E211" s="151" t="s">
        <v>702</v>
      </c>
      <c r="F211" s="141" t="s">
        <v>362</v>
      </c>
      <c r="G211" s="141" t="s">
        <v>362</v>
      </c>
      <c r="H211" s="141" t="s">
        <v>362</v>
      </c>
      <c r="I211" s="141" t="s">
        <v>362</v>
      </c>
      <c r="J211" s="141" t="s">
        <v>362</v>
      </c>
      <c r="K211" s="141" t="s">
        <v>362</v>
      </c>
      <c r="L211" s="141" t="s">
        <v>362</v>
      </c>
      <c r="M211" s="141" t="s">
        <v>362</v>
      </c>
      <c r="N211" s="141" t="s">
        <v>362</v>
      </c>
      <c r="O211" s="613" t="s">
        <v>362</v>
      </c>
      <c r="P211" s="683" t="s">
        <v>362</v>
      </c>
      <c r="Q211" s="697" t="s">
        <v>362</v>
      </c>
      <c r="R211" s="141" t="s">
        <v>362</v>
      </c>
      <c r="S211" s="141" t="s">
        <v>362</v>
      </c>
      <c r="T211" s="141" t="s">
        <v>362</v>
      </c>
      <c r="U211" s="141" t="s">
        <v>362</v>
      </c>
    </row>
    <row r="212" spans="1:21" x14ac:dyDescent="0.2">
      <c r="A212">
        <f t="shared" si="15"/>
        <v>208</v>
      </c>
      <c r="B212" s="40" t="s">
        <v>654</v>
      </c>
      <c r="C212" s="148" t="str">
        <f t="shared" si="13"/>
        <v>Part of 1120-REIT, Pg 1, Ln 18</v>
      </c>
      <c r="D212" s="46">
        <f t="shared" si="14"/>
        <v>27</v>
      </c>
      <c r="E212" s="151" t="s">
        <v>702</v>
      </c>
      <c r="F212" s="138" t="s">
        <v>1120</v>
      </c>
      <c r="G212" s="138" t="s">
        <v>1120</v>
      </c>
      <c r="H212" s="138" t="s">
        <v>1120</v>
      </c>
      <c r="I212" s="138" t="s">
        <v>1120</v>
      </c>
      <c r="J212" s="141" t="s">
        <v>1120</v>
      </c>
      <c r="K212" s="141" t="s">
        <v>1120</v>
      </c>
      <c r="L212" s="141" t="s">
        <v>1120</v>
      </c>
      <c r="M212" s="141" t="s">
        <v>1120</v>
      </c>
      <c r="N212" s="141" t="s">
        <v>1120</v>
      </c>
      <c r="O212" s="613" t="s">
        <v>1120</v>
      </c>
      <c r="P212" s="683" t="s">
        <v>1120</v>
      </c>
      <c r="Q212" s="697" t="s">
        <v>1120</v>
      </c>
      <c r="R212" s="141" t="s">
        <v>1120</v>
      </c>
      <c r="S212" s="141" t="s">
        <v>1120</v>
      </c>
      <c r="T212" s="141" t="s">
        <v>1120</v>
      </c>
      <c r="U212" s="141" t="s">
        <v>1120</v>
      </c>
    </row>
    <row r="213" spans="1:21" x14ac:dyDescent="0.2">
      <c r="A213">
        <f t="shared" si="15"/>
        <v>209</v>
      </c>
      <c r="B213" s="47" t="s">
        <v>28</v>
      </c>
      <c r="C213" s="148" t="str">
        <f t="shared" si="13"/>
        <v>Various</v>
      </c>
      <c r="D213" s="46">
        <f t="shared" si="14"/>
        <v>28</v>
      </c>
      <c r="E213" s="151" t="s">
        <v>702</v>
      </c>
      <c r="F213" s="143" t="s">
        <v>752</v>
      </c>
      <c r="G213" s="143" t="s">
        <v>752</v>
      </c>
      <c r="H213" s="143" t="s">
        <v>752</v>
      </c>
      <c r="I213" s="143" t="s">
        <v>752</v>
      </c>
      <c r="J213" s="143" t="s">
        <v>752</v>
      </c>
      <c r="K213" s="143" t="s">
        <v>752</v>
      </c>
      <c r="L213" s="143" t="s">
        <v>752</v>
      </c>
      <c r="M213" s="143" t="s">
        <v>752</v>
      </c>
      <c r="N213" s="143" t="s">
        <v>752</v>
      </c>
      <c r="O213" s="143" t="s">
        <v>752</v>
      </c>
      <c r="P213" s="143" t="s">
        <v>752</v>
      </c>
      <c r="Q213" s="143" t="s">
        <v>752</v>
      </c>
      <c r="R213" s="143" t="s">
        <v>752</v>
      </c>
      <c r="S213" s="143" t="s">
        <v>752</v>
      </c>
      <c r="T213" s="143" t="s">
        <v>752</v>
      </c>
      <c r="U213" s="143" t="s">
        <v>752</v>
      </c>
    </row>
    <row r="214" spans="1:21" x14ac:dyDescent="0.2">
      <c r="A214">
        <f t="shared" si="15"/>
        <v>210</v>
      </c>
      <c r="B214" s="47" t="s">
        <v>27</v>
      </c>
      <c r="C214" s="148" t="str">
        <f t="shared" si="13"/>
        <v>Various</v>
      </c>
      <c r="D214" s="46">
        <f t="shared" si="14"/>
        <v>29</v>
      </c>
      <c r="E214" s="151" t="s">
        <v>702</v>
      </c>
      <c r="F214" s="143" t="s">
        <v>752</v>
      </c>
      <c r="G214" s="143" t="s">
        <v>752</v>
      </c>
      <c r="H214" s="143" t="s">
        <v>752</v>
      </c>
      <c r="I214" s="143" t="s">
        <v>752</v>
      </c>
      <c r="J214" s="143" t="s">
        <v>752</v>
      </c>
      <c r="K214" s="143" t="s">
        <v>752</v>
      </c>
      <c r="L214" s="143" t="s">
        <v>752</v>
      </c>
      <c r="M214" s="143" t="s">
        <v>752</v>
      </c>
      <c r="N214" s="143" t="s">
        <v>752</v>
      </c>
      <c r="O214" s="143" t="s">
        <v>752</v>
      </c>
      <c r="P214" s="143" t="s">
        <v>752</v>
      </c>
      <c r="Q214" s="143" t="s">
        <v>752</v>
      </c>
      <c r="R214" s="143" t="s">
        <v>752</v>
      </c>
      <c r="S214" s="143" t="s">
        <v>752</v>
      </c>
      <c r="T214" s="143" t="s">
        <v>752</v>
      </c>
      <c r="U214" s="143" t="s">
        <v>752</v>
      </c>
    </row>
    <row r="215" spans="1:21" x14ac:dyDescent="0.2">
      <c r="A215">
        <f t="shared" si="15"/>
        <v>211</v>
      </c>
      <c r="B215" s="47" t="s">
        <v>757</v>
      </c>
      <c r="C215" s="148" t="str">
        <f t="shared" si="13"/>
        <v>Various</v>
      </c>
      <c r="D215" s="46">
        <f t="shared" si="14"/>
        <v>30</v>
      </c>
      <c r="E215" s="151" t="s">
        <v>702</v>
      </c>
      <c r="F215" s="143" t="s">
        <v>752</v>
      </c>
      <c r="G215" s="143" t="s">
        <v>752</v>
      </c>
      <c r="H215" s="143" t="s">
        <v>752</v>
      </c>
      <c r="I215" s="143" t="s">
        <v>752</v>
      </c>
      <c r="J215" s="143" t="s">
        <v>752</v>
      </c>
      <c r="K215" s="143" t="s">
        <v>752</v>
      </c>
      <c r="L215" s="143" t="s">
        <v>752</v>
      </c>
      <c r="M215" s="143" t="s">
        <v>752</v>
      </c>
      <c r="N215" s="143" t="s">
        <v>752</v>
      </c>
      <c r="O215" s="143" t="s">
        <v>752</v>
      </c>
      <c r="P215" s="143" t="s">
        <v>752</v>
      </c>
      <c r="Q215" s="143" t="s">
        <v>752</v>
      </c>
      <c r="R215" s="143" t="s">
        <v>752</v>
      </c>
      <c r="S215" s="143" t="s">
        <v>752</v>
      </c>
      <c r="T215" s="143" t="s">
        <v>752</v>
      </c>
      <c r="U215" s="143" t="s">
        <v>752</v>
      </c>
    </row>
    <row r="216" spans="1:21" x14ac:dyDescent="0.2">
      <c r="A216">
        <f t="shared" si="15"/>
        <v>212</v>
      </c>
      <c r="B216" s="40" t="s">
        <v>678</v>
      </c>
      <c r="C216" s="148" t="str">
        <f t="shared" si="13"/>
        <v>4797, Part III, Ln 22</v>
      </c>
      <c r="D216" s="46">
        <f t="shared" si="14"/>
        <v>31</v>
      </c>
      <c r="E216" s="151" t="s">
        <v>702</v>
      </c>
      <c r="F216" s="138" t="s">
        <v>12</v>
      </c>
      <c r="G216" s="138" t="s">
        <v>12</v>
      </c>
      <c r="H216" s="138" t="s">
        <v>12</v>
      </c>
      <c r="I216" s="138" t="s">
        <v>12</v>
      </c>
      <c r="J216" s="138" t="s">
        <v>12</v>
      </c>
      <c r="K216" s="138" t="s">
        <v>12</v>
      </c>
      <c r="L216" s="138" t="s">
        <v>12</v>
      </c>
      <c r="M216" s="138" t="s">
        <v>12</v>
      </c>
      <c r="N216" s="138" t="s">
        <v>12</v>
      </c>
      <c r="O216" s="613" t="s">
        <v>12</v>
      </c>
      <c r="P216" s="683" t="s">
        <v>12</v>
      </c>
      <c r="Q216" s="697" t="s">
        <v>12</v>
      </c>
      <c r="R216" s="141" t="s">
        <v>12</v>
      </c>
      <c r="S216" s="141" t="s">
        <v>12</v>
      </c>
      <c r="T216" s="141" t="s">
        <v>12</v>
      </c>
      <c r="U216" s="141" t="s">
        <v>12</v>
      </c>
    </row>
    <row r="217" spans="1:21" x14ac:dyDescent="0.2">
      <c r="A217">
        <f t="shared" si="15"/>
        <v>213</v>
      </c>
      <c r="B217" s="41" t="s">
        <v>679</v>
      </c>
      <c r="C217" s="148" t="str">
        <f t="shared" si="13"/>
        <v>4797, Part III, Ln 24</v>
      </c>
      <c r="D217" s="46">
        <f t="shared" si="14"/>
        <v>32</v>
      </c>
      <c r="E217" s="151" t="s">
        <v>702</v>
      </c>
      <c r="F217" s="138" t="s">
        <v>13</v>
      </c>
      <c r="G217" s="138" t="s">
        <v>13</v>
      </c>
      <c r="H217" s="138" t="s">
        <v>13</v>
      </c>
      <c r="I217" s="138" t="s">
        <v>13</v>
      </c>
      <c r="J217" s="138" t="s">
        <v>13</v>
      </c>
      <c r="K217" s="138" t="s">
        <v>13</v>
      </c>
      <c r="L217" s="138" t="s">
        <v>13</v>
      </c>
      <c r="M217" s="138" t="s">
        <v>13</v>
      </c>
      <c r="N217" s="138" t="s">
        <v>13</v>
      </c>
      <c r="O217" s="613" t="s">
        <v>13</v>
      </c>
      <c r="P217" s="683" t="s">
        <v>13</v>
      </c>
      <c r="Q217" s="697" t="s">
        <v>13</v>
      </c>
      <c r="R217" s="141" t="s">
        <v>13</v>
      </c>
      <c r="S217" s="141" t="s">
        <v>13</v>
      </c>
      <c r="T217" s="141" t="s">
        <v>13</v>
      </c>
      <c r="U217" s="141" t="s">
        <v>13</v>
      </c>
    </row>
    <row r="218" spans="1:21" x14ac:dyDescent="0.2">
      <c r="A218">
        <f t="shared" si="15"/>
        <v>214</v>
      </c>
      <c r="B218" s="41" t="s">
        <v>680</v>
      </c>
      <c r="C218" s="157"/>
      <c r="D218" s="46">
        <f t="shared" si="14"/>
        <v>33</v>
      </c>
      <c r="E218" s="139"/>
      <c r="F218" s="139"/>
      <c r="G218" s="139"/>
      <c r="H218" s="139"/>
      <c r="I218" s="139"/>
      <c r="J218" s="139"/>
      <c r="K218" s="139"/>
      <c r="L218" s="139"/>
      <c r="M218" s="139"/>
      <c r="N218" s="139"/>
      <c r="O218" s="139"/>
      <c r="P218" s="139"/>
      <c r="Q218" s="139"/>
      <c r="R218" s="139"/>
      <c r="S218" s="139"/>
      <c r="T218" s="733"/>
      <c r="U218" s="748"/>
    </row>
    <row r="219" spans="1:21" x14ac:dyDescent="0.2">
      <c r="A219">
        <f t="shared" si="15"/>
        <v>215</v>
      </c>
      <c r="B219" s="41" t="s">
        <v>105</v>
      </c>
      <c r="C219" s="148" t="str">
        <f>HLOOKUP($C$2,$E$5:$T$255,$A219,FALSE)</f>
        <v>4797, Part III, Ln 26g</v>
      </c>
      <c r="D219" s="46">
        <f t="shared" si="14"/>
        <v>34</v>
      </c>
      <c r="E219" s="151" t="s">
        <v>702</v>
      </c>
      <c r="F219" s="138" t="s">
        <v>106</v>
      </c>
      <c r="G219" s="138" t="s">
        <v>106</v>
      </c>
      <c r="H219" s="138" t="s">
        <v>106</v>
      </c>
      <c r="I219" s="138" t="s">
        <v>106</v>
      </c>
      <c r="J219" s="138" t="s">
        <v>106</v>
      </c>
      <c r="K219" s="138" t="s">
        <v>106</v>
      </c>
      <c r="L219" s="138" t="s">
        <v>106</v>
      </c>
      <c r="M219" s="138" t="s">
        <v>106</v>
      </c>
      <c r="N219" s="138" t="s">
        <v>106</v>
      </c>
      <c r="O219" s="613" t="s">
        <v>106</v>
      </c>
      <c r="P219" s="683" t="s">
        <v>106</v>
      </c>
      <c r="Q219" s="697" t="s">
        <v>106</v>
      </c>
      <c r="R219" s="141" t="s">
        <v>106</v>
      </c>
      <c r="S219" s="141" t="s">
        <v>106</v>
      </c>
      <c r="T219" s="141" t="s">
        <v>106</v>
      </c>
      <c r="U219" s="141" t="s">
        <v>106</v>
      </c>
    </row>
    <row r="220" spans="1:21" x14ac:dyDescent="0.2">
      <c r="A220">
        <f t="shared" si="15"/>
        <v>216</v>
      </c>
      <c r="G220" s="124"/>
      <c r="M220" s="152"/>
      <c r="N220" s="152"/>
      <c r="O220" s="152"/>
      <c r="P220" s="152"/>
      <c r="Q220" s="152"/>
      <c r="R220" s="152"/>
      <c r="S220" s="152"/>
      <c r="T220" s="152"/>
      <c r="U220" s="152"/>
    </row>
    <row r="221" spans="1:21" x14ac:dyDescent="0.2">
      <c r="A221">
        <f t="shared" si="15"/>
        <v>217</v>
      </c>
      <c r="B221" s="150" t="s">
        <v>763</v>
      </c>
      <c r="E221" s="3"/>
      <c r="F221" s="3"/>
      <c r="G221" s="144"/>
      <c r="H221" s="3"/>
      <c r="M221" s="152"/>
      <c r="N221" s="152"/>
      <c r="O221" s="152"/>
      <c r="P221" s="152"/>
      <c r="Q221" s="152"/>
      <c r="R221" s="152"/>
      <c r="S221" s="152"/>
      <c r="T221" s="152"/>
      <c r="U221" s="152"/>
    </row>
    <row r="222" spans="1:21" x14ac:dyDescent="0.2">
      <c r="A222">
        <f t="shared" si="15"/>
        <v>218</v>
      </c>
      <c r="B222" s="45" t="s">
        <v>22</v>
      </c>
      <c r="C222" s="148" t="str">
        <f t="shared" ref="C222:C253" si="16">HLOOKUP($C$2,$E$5:$T$255,$A222,FALSE)</f>
        <v>No guidance available</v>
      </c>
      <c r="D222" s="46">
        <v>1</v>
      </c>
      <c r="E222" s="151" t="s">
        <v>702</v>
      </c>
      <c r="F222" s="141" t="s">
        <v>764</v>
      </c>
      <c r="G222" s="141" t="s">
        <v>764</v>
      </c>
      <c r="H222" s="141" t="s">
        <v>764</v>
      </c>
      <c r="I222" s="141" t="s">
        <v>764</v>
      </c>
      <c r="J222" s="141" t="s">
        <v>764</v>
      </c>
      <c r="K222" s="141" t="s">
        <v>764</v>
      </c>
      <c r="L222" s="141" t="s">
        <v>764</v>
      </c>
      <c r="M222" s="141" t="s">
        <v>764</v>
      </c>
      <c r="N222" s="141" t="s">
        <v>764</v>
      </c>
      <c r="O222" s="141" t="s">
        <v>764</v>
      </c>
      <c r="P222" s="141" t="s">
        <v>764</v>
      </c>
      <c r="Q222" s="141" t="s">
        <v>764</v>
      </c>
      <c r="R222" s="141" t="s">
        <v>764</v>
      </c>
      <c r="S222" s="141" t="s">
        <v>764</v>
      </c>
      <c r="T222" s="141" t="s">
        <v>764</v>
      </c>
      <c r="U222" s="141" t="s">
        <v>764</v>
      </c>
    </row>
    <row r="223" spans="1:21" x14ac:dyDescent="0.2">
      <c r="A223">
        <f t="shared" si="15"/>
        <v>219</v>
      </c>
      <c r="B223" s="45" t="s">
        <v>1261</v>
      </c>
      <c r="C223" s="148" t="str">
        <f t="shared" si="16"/>
        <v>No guidance available</v>
      </c>
      <c r="D223" s="46">
        <f t="shared" ref="D223:D255" si="17">+D222+1</f>
        <v>2</v>
      </c>
      <c r="E223" s="151" t="s">
        <v>702</v>
      </c>
      <c r="F223" s="138" t="s">
        <v>764</v>
      </c>
      <c r="G223" s="138" t="s">
        <v>764</v>
      </c>
      <c r="H223" s="138" t="s">
        <v>764</v>
      </c>
      <c r="I223" s="138" t="s">
        <v>764</v>
      </c>
      <c r="J223" s="138" t="s">
        <v>764</v>
      </c>
      <c r="K223" s="138" t="s">
        <v>764</v>
      </c>
      <c r="L223" s="138" t="s">
        <v>764</v>
      </c>
      <c r="M223" s="138" t="s">
        <v>764</v>
      </c>
      <c r="N223" s="138" t="s">
        <v>764</v>
      </c>
      <c r="O223" s="138" t="s">
        <v>764</v>
      </c>
      <c r="P223" s="138" t="s">
        <v>764</v>
      </c>
      <c r="Q223" s="138" t="s">
        <v>764</v>
      </c>
      <c r="R223" s="138" t="s">
        <v>764</v>
      </c>
      <c r="S223" s="138" t="s">
        <v>764</v>
      </c>
      <c r="T223" s="732" t="s">
        <v>764</v>
      </c>
      <c r="U223" s="747" t="s">
        <v>764</v>
      </c>
    </row>
    <row r="224" spans="1:21" x14ac:dyDescent="0.2">
      <c r="A224">
        <f t="shared" si="15"/>
        <v>220</v>
      </c>
      <c r="B224" s="41" t="s">
        <v>9</v>
      </c>
      <c r="C224" s="148" t="str">
        <f t="shared" si="16"/>
        <v>No guidance available</v>
      </c>
      <c r="D224" s="46">
        <f t="shared" si="17"/>
        <v>3</v>
      </c>
      <c r="E224" s="151" t="s">
        <v>702</v>
      </c>
      <c r="F224" s="141" t="s">
        <v>764</v>
      </c>
      <c r="G224" s="141" t="s">
        <v>764</v>
      </c>
      <c r="H224" s="141" t="s">
        <v>764</v>
      </c>
      <c r="I224" s="141" t="s">
        <v>764</v>
      </c>
      <c r="J224" s="141" t="s">
        <v>764</v>
      </c>
      <c r="K224" s="141" t="s">
        <v>764</v>
      </c>
      <c r="L224" s="141" t="s">
        <v>764</v>
      </c>
      <c r="M224" s="141" t="s">
        <v>764</v>
      </c>
      <c r="N224" s="141" t="s">
        <v>764</v>
      </c>
      <c r="O224" s="141" t="s">
        <v>764</v>
      </c>
      <c r="P224" s="141" t="s">
        <v>764</v>
      </c>
      <c r="Q224" s="141" t="s">
        <v>764</v>
      </c>
      <c r="R224" s="141" t="s">
        <v>764</v>
      </c>
      <c r="S224" s="141" t="s">
        <v>764</v>
      </c>
      <c r="T224" s="141" t="s">
        <v>764</v>
      </c>
      <c r="U224" s="141" t="s">
        <v>764</v>
      </c>
    </row>
    <row r="225" spans="1:21" x14ac:dyDescent="0.2">
      <c r="A225">
        <f t="shared" si="15"/>
        <v>221</v>
      </c>
      <c r="B225" s="41" t="s">
        <v>10</v>
      </c>
      <c r="C225" s="148" t="str">
        <f t="shared" si="16"/>
        <v>No guidance available</v>
      </c>
      <c r="D225" s="46">
        <f t="shared" si="17"/>
        <v>4</v>
      </c>
      <c r="E225" s="151" t="s">
        <v>702</v>
      </c>
      <c r="F225" s="141" t="s">
        <v>764</v>
      </c>
      <c r="G225" s="141" t="s">
        <v>764</v>
      </c>
      <c r="H225" s="141" t="s">
        <v>764</v>
      </c>
      <c r="I225" s="141" t="s">
        <v>764</v>
      </c>
      <c r="J225" s="141" t="s">
        <v>764</v>
      </c>
      <c r="K225" s="141" t="s">
        <v>764</v>
      </c>
      <c r="L225" s="141" t="s">
        <v>764</v>
      </c>
      <c r="M225" s="141" t="s">
        <v>764</v>
      </c>
      <c r="N225" s="141" t="s">
        <v>764</v>
      </c>
      <c r="O225" s="141" t="s">
        <v>764</v>
      </c>
      <c r="P225" s="141" t="s">
        <v>764</v>
      </c>
      <c r="Q225" s="141" t="s">
        <v>764</v>
      </c>
      <c r="R225" s="141" t="s">
        <v>764</v>
      </c>
      <c r="S225" s="141" t="s">
        <v>764</v>
      </c>
      <c r="T225" s="141" t="s">
        <v>764</v>
      </c>
      <c r="U225" s="141" t="s">
        <v>764</v>
      </c>
    </row>
    <row r="226" spans="1:21" x14ac:dyDescent="0.2">
      <c r="A226">
        <f t="shared" si="15"/>
        <v>222</v>
      </c>
      <c r="B226" s="40" t="s">
        <v>11</v>
      </c>
      <c r="C226" s="148" t="str">
        <f t="shared" si="16"/>
        <v>No guidance available</v>
      </c>
      <c r="D226" s="46">
        <f t="shared" si="17"/>
        <v>5</v>
      </c>
      <c r="E226" s="151" t="s">
        <v>702</v>
      </c>
      <c r="F226" s="141" t="s">
        <v>764</v>
      </c>
      <c r="G226" s="141" t="s">
        <v>764</v>
      </c>
      <c r="H226" s="141" t="s">
        <v>764</v>
      </c>
      <c r="I226" s="141" t="s">
        <v>764</v>
      </c>
      <c r="J226" s="141" t="s">
        <v>764</v>
      </c>
      <c r="K226" s="141" t="s">
        <v>764</v>
      </c>
      <c r="L226" s="141" t="s">
        <v>764</v>
      </c>
      <c r="M226" s="141" t="s">
        <v>764</v>
      </c>
      <c r="N226" s="141" t="s">
        <v>764</v>
      </c>
      <c r="O226" s="141" t="s">
        <v>764</v>
      </c>
      <c r="P226" s="141" t="s">
        <v>764</v>
      </c>
      <c r="Q226" s="141" t="s">
        <v>764</v>
      </c>
      <c r="R226" s="141" t="s">
        <v>764</v>
      </c>
      <c r="S226" s="141" t="s">
        <v>764</v>
      </c>
      <c r="T226" s="141" t="s">
        <v>764</v>
      </c>
      <c r="U226" s="141" t="s">
        <v>764</v>
      </c>
    </row>
    <row r="227" spans="1:21" x14ac:dyDescent="0.2">
      <c r="A227">
        <f t="shared" si="15"/>
        <v>223</v>
      </c>
      <c r="B227" s="40" t="s">
        <v>112</v>
      </c>
      <c r="C227" s="148" t="str">
        <f t="shared" si="16"/>
        <v>No guidance available</v>
      </c>
      <c r="D227" s="46">
        <f t="shared" si="17"/>
        <v>6</v>
      </c>
      <c r="E227" s="151" t="s">
        <v>702</v>
      </c>
      <c r="F227" s="141" t="s">
        <v>764</v>
      </c>
      <c r="G227" s="141" t="s">
        <v>764</v>
      </c>
      <c r="H227" s="141" t="s">
        <v>764</v>
      </c>
      <c r="I227" s="141" t="s">
        <v>764</v>
      </c>
      <c r="J227" s="141" t="s">
        <v>764</v>
      </c>
      <c r="K227" s="141" t="s">
        <v>764</v>
      </c>
      <c r="L227" s="141" t="s">
        <v>764</v>
      </c>
      <c r="M227" s="141" t="s">
        <v>764</v>
      </c>
      <c r="N227" s="141" t="s">
        <v>764</v>
      </c>
      <c r="O227" s="141" t="s">
        <v>764</v>
      </c>
      <c r="P227" s="141" t="s">
        <v>764</v>
      </c>
      <c r="Q227" s="141" t="s">
        <v>764</v>
      </c>
      <c r="R227" s="141" t="s">
        <v>764</v>
      </c>
      <c r="S227" s="141" t="s">
        <v>764</v>
      </c>
      <c r="T227" s="141" t="s">
        <v>764</v>
      </c>
      <c r="U227" s="141" t="s">
        <v>764</v>
      </c>
    </row>
    <row r="228" spans="1:21" x14ac:dyDescent="0.2">
      <c r="A228">
        <f t="shared" si="15"/>
        <v>224</v>
      </c>
      <c r="B228" s="40" t="s">
        <v>1201</v>
      </c>
      <c r="C228" s="148" t="str">
        <f t="shared" si="16"/>
        <v>No guidance available</v>
      </c>
      <c r="D228" s="46">
        <f t="shared" si="17"/>
        <v>7</v>
      </c>
      <c r="E228" s="151" t="s">
        <v>702</v>
      </c>
      <c r="F228" s="141" t="s">
        <v>764</v>
      </c>
      <c r="G228" s="141" t="s">
        <v>764</v>
      </c>
      <c r="H228" s="141" t="s">
        <v>764</v>
      </c>
      <c r="I228" s="141" t="s">
        <v>764</v>
      </c>
      <c r="J228" s="141" t="s">
        <v>764</v>
      </c>
      <c r="K228" s="141" t="s">
        <v>764</v>
      </c>
      <c r="L228" s="141" t="s">
        <v>764</v>
      </c>
      <c r="M228" s="141" t="s">
        <v>764</v>
      </c>
      <c r="N228" s="141" t="s">
        <v>764</v>
      </c>
      <c r="O228" s="141" t="s">
        <v>764</v>
      </c>
      <c r="P228" s="141" t="s">
        <v>764</v>
      </c>
      <c r="Q228" s="141" t="s">
        <v>764</v>
      </c>
      <c r="R228" s="141" t="s">
        <v>764</v>
      </c>
      <c r="S228" s="141" t="s">
        <v>764</v>
      </c>
      <c r="T228" s="141" t="s">
        <v>764</v>
      </c>
      <c r="U228" s="141" t="s">
        <v>764</v>
      </c>
    </row>
    <row r="229" spans="1:21" x14ac:dyDescent="0.2">
      <c r="A229">
        <f t="shared" si="15"/>
        <v>225</v>
      </c>
      <c r="B229" s="40" t="s">
        <v>1202</v>
      </c>
      <c r="C229" s="148" t="str">
        <f t="shared" si="16"/>
        <v>No guidance available</v>
      </c>
      <c r="D229" s="46">
        <f t="shared" si="17"/>
        <v>8</v>
      </c>
      <c r="E229" s="151" t="s">
        <v>702</v>
      </c>
      <c r="F229" s="141" t="s">
        <v>764</v>
      </c>
      <c r="G229" s="141" t="s">
        <v>764</v>
      </c>
      <c r="H229" s="141" t="s">
        <v>764</v>
      </c>
      <c r="I229" s="141" t="s">
        <v>764</v>
      </c>
      <c r="J229" s="141" t="s">
        <v>764</v>
      </c>
      <c r="K229" s="141" t="s">
        <v>764</v>
      </c>
      <c r="L229" s="141" t="s">
        <v>764</v>
      </c>
      <c r="M229" s="141" t="s">
        <v>764</v>
      </c>
      <c r="N229" s="141" t="s">
        <v>764</v>
      </c>
      <c r="O229" s="141" t="s">
        <v>764</v>
      </c>
      <c r="P229" s="141" t="s">
        <v>764</v>
      </c>
      <c r="Q229" s="141" t="s">
        <v>764</v>
      </c>
      <c r="R229" s="141" t="s">
        <v>764</v>
      </c>
      <c r="S229" s="141" t="s">
        <v>764</v>
      </c>
      <c r="T229" s="141" t="s">
        <v>764</v>
      </c>
      <c r="U229" s="141" t="s">
        <v>764</v>
      </c>
    </row>
    <row r="230" spans="1:21" x14ac:dyDescent="0.2">
      <c r="A230">
        <f t="shared" si="15"/>
        <v>226</v>
      </c>
      <c r="B230" s="40" t="s">
        <v>1203</v>
      </c>
      <c r="C230" s="148" t="str">
        <f t="shared" si="16"/>
        <v>No guidance available</v>
      </c>
      <c r="D230" s="46">
        <f t="shared" si="17"/>
        <v>9</v>
      </c>
      <c r="E230" s="151" t="s">
        <v>702</v>
      </c>
      <c r="F230" s="141" t="s">
        <v>764</v>
      </c>
      <c r="G230" s="141" t="s">
        <v>764</v>
      </c>
      <c r="H230" s="141" t="s">
        <v>764</v>
      </c>
      <c r="I230" s="141" t="s">
        <v>764</v>
      </c>
      <c r="J230" s="141" t="s">
        <v>764</v>
      </c>
      <c r="K230" s="141" t="s">
        <v>764</v>
      </c>
      <c r="L230" s="141" t="s">
        <v>764</v>
      </c>
      <c r="M230" s="141" t="s">
        <v>764</v>
      </c>
      <c r="N230" s="141" t="s">
        <v>764</v>
      </c>
      <c r="O230" s="141" t="s">
        <v>764</v>
      </c>
      <c r="P230" s="141" t="s">
        <v>764</v>
      </c>
      <c r="Q230" s="141" t="s">
        <v>764</v>
      </c>
      <c r="R230" s="141" t="s">
        <v>764</v>
      </c>
      <c r="S230" s="141" t="s">
        <v>764</v>
      </c>
      <c r="T230" s="141" t="s">
        <v>764</v>
      </c>
      <c r="U230" s="141" t="s">
        <v>764</v>
      </c>
    </row>
    <row r="231" spans="1:21" x14ac:dyDescent="0.2">
      <c r="A231">
        <f t="shared" si="15"/>
        <v>227</v>
      </c>
      <c r="B231" s="40" t="s">
        <v>1204</v>
      </c>
      <c r="C231" s="148" t="str">
        <f t="shared" si="16"/>
        <v>No guidance available</v>
      </c>
      <c r="D231" s="46">
        <f t="shared" si="17"/>
        <v>10</v>
      </c>
      <c r="E231" s="151" t="s">
        <v>702</v>
      </c>
      <c r="F231" s="141" t="s">
        <v>764</v>
      </c>
      <c r="G231" s="141" t="s">
        <v>764</v>
      </c>
      <c r="H231" s="141" t="s">
        <v>764</v>
      </c>
      <c r="I231" s="141" t="s">
        <v>764</v>
      </c>
      <c r="J231" s="141" t="s">
        <v>764</v>
      </c>
      <c r="K231" s="141" t="s">
        <v>764</v>
      </c>
      <c r="L231" s="141" t="s">
        <v>764</v>
      </c>
      <c r="M231" s="141" t="s">
        <v>764</v>
      </c>
      <c r="N231" s="141" t="s">
        <v>764</v>
      </c>
      <c r="O231" s="141" t="s">
        <v>764</v>
      </c>
      <c r="P231" s="141" t="s">
        <v>764</v>
      </c>
      <c r="Q231" s="141" t="s">
        <v>764</v>
      </c>
      <c r="R231" s="141" t="s">
        <v>764</v>
      </c>
      <c r="S231" s="141" t="s">
        <v>764</v>
      </c>
      <c r="T231" s="141" t="s">
        <v>764</v>
      </c>
      <c r="U231" s="141" t="s">
        <v>764</v>
      </c>
    </row>
    <row r="232" spans="1:21" x14ac:dyDescent="0.2">
      <c r="A232">
        <f t="shared" si="15"/>
        <v>228</v>
      </c>
      <c r="B232" s="40" t="s">
        <v>1322</v>
      </c>
      <c r="C232" s="148" t="str">
        <f t="shared" si="16"/>
        <v>No guidance available</v>
      </c>
      <c r="D232" s="46">
        <f t="shared" si="17"/>
        <v>11</v>
      </c>
      <c r="E232" s="151" t="s">
        <v>702</v>
      </c>
      <c r="F232" s="141" t="s">
        <v>764</v>
      </c>
      <c r="G232" s="141" t="s">
        <v>764</v>
      </c>
      <c r="H232" s="141" t="s">
        <v>764</v>
      </c>
      <c r="I232" s="141" t="s">
        <v>764</v>
      </c>
      <c r="J232" s="141" t="s">
        <v>764</v>
      </c>
      <c r="K232" s="141" t="s">
        <v>764</v>
      </c>
      <c r="L232" s="141" t="s">
        <v>764</v>
      </c>
      <c r="M232" s="141" t="s">
        <v>764</v>
      </c>
      <c r="N232" s="141" t="s">
        <v>764</v>
      </c>
      <c r="O232" s="141" t="s">
        <v>764</v>
      </c>
      <c r="P232" s="141" t="s">
        <v>764</v>
      </c>
      <c r="Q232" s="141" t="s">
        <v>764</v>
      </c>
      <c r="R232" s="141" t="s">
        <v>764</v>
      </c>
      <c r="S232" s="141" t="s">
        <v>764</v>
      </c>
      <c r="T232" s="141" t="s">
        <v>764</v>
      </c>
      <c r="U232" s="141" t="s">
        <v>764</v>
      </c>
    </row>
    <row r="233" spans="1:21" ht="13.5" customHeight="1" x14ac:dyDescent="0.2">
      <c r="A233">
        <f t="shared" si="15"/>
        <v>229</v>
      </c>
      <c r="B233" s="40" t="s">
        <v>1325</v>
      </c>
      <c r="C233" s="148" t="str">
        <f t="shared" si="16"/>
        <v>No guidance available</v>
      </c>
      <c r="D233" s="46">
        <f t="shared" si="17"/>
        <v>12</v>
      </c>
      <c r="E233" s="151" t="s">
        <v>702</v>
      </c>
      <c r="F233" s="141" t="s">
        <v>764</v>
      </c>
      <c r="G233" s="141" t="s">
        <v>764</v>
      </c>
      <c r="H233" s="141" t="s">
        <v>764</v>
      </c>
      <c r="I233" s="141" t="s">
        <v>764</v>
      </c>
      <c r="J233" s="141" t="s">
        <v>764</v>
      </c>
      <c r="K233" s="141" t="s">
        <v>764</v>
      </c>
      <c r="L233" s="141" t="s">
        <v>764</v>
      </c>
      <c r="M233" s="141" t="s">
        <v>764</v>
      </c>
      <c r="N233" s="141" t="s">
        <v>764</v>
      </c>
      <c r="O233" s="141" t="s">
        <v>764</v>
      </c>
      <c r="P233" s="141" t="s">
        <v>764</v>
      </c>
      <c r="Q233" s="141" t="s">
        <v>764</v>
      </c>
      <c r="R233" s="141" t="s">
        <v>764</v>
      </c>
      <c r="S233" s="141" t="s">
        <v>764</v>
      </c>
      <c r="T233" s="141" t="s">
        <v>764</v>
      </c>
      <c r="U233" s="141" t="s">
        <v>764</v>
      </c>
    </row>
    <row r="234" spans="1:21" ht="24.95" customHeight="1" x14ac:dyDescent="0.2">
      <c r="A234">
        <f t="shared" si="15"/>
        <v>230</v>
      </c>
      <c r="B234" s="40" t="s">
        <v>1266</v>
      </c>
      <c r="C234" s="148" t="str">
        <f t="shared" si="16"/>
        <v>No guidance available</v>
      </c>
      <c r="D234" s="46">
        <f t="shared" si="17"/>
        <v>13</v>
      </c>
      <c r="E234" s="151" t="s">
        <v>702</v>
      </c>
      <c r="F234" s="141" t="s">
        <v>764</v>
      </c>
      <c r="G234" s="141" t="s">
        <v>764</v>
      </c>
      <c r="H234" s="141" t="s">
        <v>764</v>
      </c>
      <c r="I234" s="141" t="s">
        <v>764</v>
      </c>
      <c r="J234" s="141" t="s">
        <v>764</v>
      </c>
      <c r="K234" s="141" t="s">
        <v>764</v>
      </c>
      <c r="L234" s="141" t="s">
        <v>764</v>
      </c>
      <c r="M234" s="141" t="s">
        <v>764</v>
      </c>
      <c r="N234" s="141" t="s">
        <v>764</v>
      </c>
      <c r="O234" s="141" t="s">
        <v>764</v>
      </c>
      <c r="P234" s="141" t="s">
        <v>764</v>
      </c>
      <c r="Q234" s="141" t="s">
        <v>764</v>
      </c>
      <c r="R234" s="141" t="s">
        <v>764</v>
      </c>
      <c r="S234" s="141" t="s">
        <v>764</v>
      </c>
      <c r="T234" s="141" t="s">
        <v>764</v>
      </c>
      <c r="U234" s="141" t="s">
        <v>764</v>
      </c>
    </row>
    <row r="235" spans="1:21" x14ac:dyDescent="0.2">
      <c r="A235">
        <f t="shared" si="15"/>
        <v>231</v>
      </c>
      <c r="B235" s="45" t="s">
        <v>110</v>
      </c>
      <c r="C235" s="148" t="str">
        <f t="shared" si="16"/>
        <v>No guidance available</v>
      </c>
      <c r="D235" s="46">
        <f t="shared" si="17"/>
        <v>14</v>
      </c>
      <c r="E235" s="151" t="s">
        <v>702</v>
      </c>
      <c r="F235" s="141" t="s">
        <v>764</v>
      </c>
      <c r="G235" s="141" t="s">
        <v>764</v>
      </c>
      <c r="H235" s="141" t="s">
        <v>764</v>
      </c>
      <c r="I235" s="141" t="s">
        <v>764</v>
      </c>
      <c r="J235" s="141" t="s">
        <v>764</v>
      </c>
      <c r="K235" s="141" t="s">
        <v>764</v>
      </c>
      <c r="L235" s="141" t="s">
        <v>764</v>
      </c>
      <c r="M235" s="141" t="s">
        <v>764</v>
      </c>
      <c r="N235" s="141" t="s">
        <v>764</v>
      </c>
      <c r="O235" s="141" t="s">
        <v>764</v>
      </c>
      <c r="P235" s="141" t="s">
        <v>764</v>
      </c>
      <c r="Q235" s="141" t="s">
        <v>764</v>
      </c>
      <c r="R235" s="141" t="s">
        <v>764</v>
      </c>
      <c r="S235" s="141" t="s">
        <v>764</v>
      </c>
      <c r="T235" s="141" t="s">
        <v>764</v>
      </c>
      <c r="U235" s="141" t="s">
        <v>764</v>
      </c>
    </row>
    <row r="236" spans="1:21" x14ac:dyDescent="0.2">
      <c r="A236">
        <f t="shared" si="15"/>
        <v>232</v>
      </c>
      <c r="B236" s="45" t="s">
        <v>111</v>
      </c>
      <c r="C236" s="148" t="str">
        <f t="shared" si="16"/>
        <v>No guidance available</v>
      </c>
      <c r="D236" s="46">
        <f t="shared" si="17"/>
        <v>15</v>
      </c>
      <c r="E236" s="151" t="s">
        <v>702</v>
      </c>
      <c r="F236" s="141" t="s">
        <v>764</v>
      </c>
      <c r="G236" s="141" t="s">
        <v>764</v>
      </c>
      <c r="H236" s="141" t="s">
        <v>764</v>
      </c>
      <c r="I236" s="141" t="s">
        <v>764</v>
      </c>
      <c r="J236" s="141" t="s">
        <v>764</v>
      </c>
      <c r="K236" s="141" t="s">
        <v>764</v>
      </c>
      <c r="L236" s="141" t="s">
        <v>764</v>
      </c>
      <c r="M236" s="141" t="s">
        <v>764</v>
      </c>
      <c r="N236" s="141" t="s">
        <v>764</v>
      </c>
      <c r="O236" s="141" t="s">
        <v>764</v>
      </c>
      <c r="P236" s="141" t="s">
        <v>764</v>
      </c>
      <c r="Q236" s="141" t="s">
        <v>764</v>
      </c>
      <c r="R236" s="141" t="s">
        <v>764</v>
      </c>
      <c r="S236" s="141" t="s">
        <v>764</v>
      </c>
      <c r="T236" s="141" t="s">
        <v>764</v>
      </c>
      <c r="U236" s="141" t="s">
        <v>764</v>
      </c>
    </row>
    <row r="237" spans="1:21" x14ac:dyDescent="0.2">
      <c r="A237">
        <f t="shared" si="15"/>
        <v>233</v>
      </c>
      <c r="B237" s="85" t="s">
        <v>1302</v>
      </c>
      <c r="C237" s="148" t="str">
        <f t="shared" si="16"/>
        <v>No guidance available</v>
      </c>
      <c r="D237" s="46">
        <f t="shared" si="17"/>
        <v>16</v>
      </c>
      <c r="E237" s="151" t="s">
        <v>702</v>
      </c>
      <c r="F237" s="141" t="s">
        <v>764</v>
      </c>
      <c r="G237" s="141" t="s">
        <v>764</v>
      </c>
      <c r="H237" s="141" t="s">
        <v>764</v>
      </c>
      <c r="I237" s="141" t="s">
        <v>764</v>
      </c>
      <c r="J237" s="141" t="s">
        <v>764</v>
      </c>
      <c r="K237" s="141" t="s">
        <v>764</v>
      </c>
      <c r="L237" s="141" t="s">
        <v>764</v>
      </c>
      <c r="M237" s="141" t="s">
        <v>764</v>
      </c>
      <c r="N237" s="141" t="s">
        <v>764</v>
      </c>
      <c r="O237" s="141" t="s">
        <v>764</v>
      </c>
      <c r="P237" s="141" t="s">
        <v>764</v>
      </c>
      <c r="Q237" s="141" t="s">
        <v>764</v>
      </c>
      <c r="R237" s="141" t="s">
        <v>764</v>
      </c>
      <c r="S237" s="141" t="s">
        <v>764</v>
      </c>
      <c r="T237" s="141" t="s">
        <v>764</v>
      </c>
      <c r="U237" s="141" t="s">
        <v>764</v>
      </c>
    </row>
    <row r="238" spans="1:21" x14ac:dyDescent="0.2">
      <c r="A238">
        <f t="shared" si="15"/>
        <v>234</v>
      </c>
      <c r="B238" s="85" t="s">
        <v>1321</v>
      </c>
      <c r="C238" s="148" t="str">
        <f t="shared" si="16"/>
        <v>No guidance available</v>
      </c>
      <c r="D238" s="46">
        <f t="shared" si="17"/>
        <v>17</v>
      </c>
      <c r="E238" s="151" t="s">
        <v>702</v>
      </c>
      <c r="F238" s="141" t="s">
        <v>764</v>
      </c>
      <c r="G238" s="141" t="s">
        <v>764</v>
      </c>
      <c r="H238" s="141" t="s">
        <v>764</v>
      </c>
      <c r="I238" s="141" t="s">
        <v>764</v>
      </c>
      <c r="J238" s="141" t="s">
        <v>764</v>
      </c>
      <c r="K238" s="141" t="s">
        <v>764</v>
      </c>
      <c r="L238" s="141" t="s">
        <v>764</v>
      </c>
      <c r="M238" s="141" t="s">
        <v>764</v>
      </c>
      <c r="N238" s="141" t="s">
        <v>764</v>
      </c>
      <c r="O238" s="141" t="s">
        <v>764</v>
      </c>
      <c r="P238" s="141" t="s">
        <v>764</v>
      </c>
      <c r="Q238" s="141" t="s">
        <v>764</v>
      </c>
      <c r="R238" s="141" t="s">
        <v>764</v>
      </c>
      <c r="S238" s="141" t="s">
        <v>764</v>
      </c>
      <c r="T238" s="141" t="s">
        <v>764</v>
      </c>
      <c r="U238" s="141" t="s">
        <v>764</v>
      </c>
    </row>
    <row r="239" spans="1:21" x14ac:dyDescent="0.2">
      <c r="A239">
        <f t="shared" si="15"/>
        <v>235</v>
      </c>
      <c r="B239" s="85" t="s">
        <v>1303</v>
      </c>
      <c r="C239" s="148" t="str">
        <f t="shared" si="16"/>
        <v>No guidance available</v>
      </c>
      <c r="D239" s="46">
        <f t="shared" si="17"/>
        <v>18</v>
      </c>
      <c r="E239" s="151" t="s">
        <v>702</v>
      </c>
      <c r="F239" s="141" t="s">
        <v>764</v>
      </c>
      <c r="G239" s="141" t="s">
        <v>764</v>
      </c>
      <c r="H239" s="141" t="s">
        <v>764</v>
      </c>
      <c r="I239" s="141" t="s">
        <v>764</v>
      </c>
      <c r="J239" s="141" t="s">
        <v>764</v>
      </c>
      <c r="K239" s="141" t="s">
        <v>764</v>
      </c>
      <c r="L239" s="141" t="s">
        <v>764</v>
      </c>
      <c r="M239" s="141" t="s">
        <v>764</v>
      </c>
      <c r="N239" s="141" t="s">
        <v>764</v>
      </c>
      <c r="O239" s="141" t="s">
        <v>764</v>
      </c>
      <c r="P239" s="141" t="s">
        <v>764</v>
      </c>
      <c r="Q239" s="141" t="s">
        <v>764</v>
      </c>
      <c r="R239" s="141" t="s">
        <v>764</v>
      </c>
      <c r="S239" s="141" t="s">
        <v>764</v>
      </c>
      <c r="T239" s="141" t="s">
        <v>764</v>
      </c>
      <c r="U239" s="141" t="s">
        <v>764</v>
      </c>
    </row>
    <row r="240" spans="1:21" x14ac:dyDescent="0.2">
      <c r="A240">
        <f t="shared" si="15"/>
        <v>236</v>
      </c>
      <c r="B240" s="85" t="s">
        <v>1306</v>
      </c>
      <c r="C240" s="148" t="str">
        <f t="shared" si="16"/>
        <v>No guidance available</v>
      </c>
      <c r="D240" s="46">
        <f t="shared" si="17"/>
        <v>19</v>
      </c>
      <c r="E240" s="151" t="s">
        <v>702</v>
      </c>
      <c r="F240" s="141" t="s">
        <v>764</v>
      </c>
      <c r="G240" s="141" t="s">
        <v>764</v>
      </c>
      <c r="H240" s="141" t="s">
        <v>764</v>
      </c>
      <c r="I240" s="141" t="s">
        <v>764</v>
      </c>
      <c r="J240" s="141" t="s">
        <v>764</v>
      </c>
      <c r="K240" s="141" t="s">
        <v>764</v>
      </c>
      <c r="L240" s="141" t="s">
        <v>764</v>
      </c>
      <c r="M240" s="141" t="s">
        <v>764</v>
      </c>
      <c r="N240" s="141" t="s">
        <v>764</v>
      </c>
      <c r="O240" s="141" t="s">
        <v>764</v>
      </c>
      <c r="P240" s="141" t="s">
        <v>764</v>
      </c>
      <c r="Q240" s="141" t="s">
        <v>764</v>
      </c>
      <c r="R240" s="141" t="s">
        <v>764</v>
      </c>
      <c r="S240" s="141" t="s">
        <v>764</v>
      </c>
      <c r="T240" s="141" t="s">
        <v>764</v>
      </c>
      <c r="U240" s="141" t="s">
        <v>764</v>
      </c>
    </row>
    <row r="241" spans="1:21" x14ac:dyDescent="0.2">
      <c r="A241">
        <f t="shared" si="15"/>
        <v>237</v>
      </c>
      <c r="B241" s="85" t="s">
        <v>1304</v>
      </c>
      <c r="C241" s="148" t="str">
        <f t="shared" si="16"/>
        <v>No guidance available</v>
      </c>
      <c r="D241" s="46">
        <f t="shared" si="17"/>
        <v>20</v>
      </c>
      <c r="E241" s="151" t="s">
        <v>702</v>
      </c>
      <c r="F241" s="141" t="s">
        <v>764</v>
      </c>
      <c r="G241" s="141" t="s">
        <v>764</v>
      </c>
      <c r="H241" s="141" t="s">
        <v>764</v>
      </c>
      <c r="I241" s="141" t="s">
        <v>764</v>
      </c>
      <c r="J241" s="141" t="s">
        <v>764</v>
      </c>
      <c r="K241" s="141" t="s">
        <v>764</v>
      </c>
      <c r="L241" s="141" t="s">
        <v>764</v>
      </c>
      <c r="M241" s="141" t="s">
        <v>764</v>
      </c>
      <c r="N241" s="141" t="s">
        <v>764</v>
      </c>
      <c r="O241" s="141" t="s">
        <v>764</v>
      </c>
      <c r="P241" s="141" t="s">
        <v>764</v>
      </c>
      <c r="Q241" s="141" t="s">
        <v>764</v>
      </c>
      <c r="R241" s="141" t="s">
        <v>764</v>
      </c>
      <c r="S241" s="141" t="s">
        <v>764</v>
      </c>
      <c r="T241" s="141" t="s">
        <v>764</v>
      </c>
      <c r="U241" s="141" t="s">
        <v>764</v>
      </c>
    </row>
    <row r="242" spans="1:21" x14ac:dyDescent="0.2">
      <c r="A242">
        <f t="shared" si="15"/>
        <v>238</v>
      </c>
      <c r="B242" s="85" t="s">
        <v>1305</v>
      </c>
      <c r="C242" s="148" t="str">
        <f t="shared" si="16"/>
        <v>No guidance available</v>
      </c>
      <c r="D242" s="46">
        <f t="shared" si="17"/>
        <v>21</v>
      </c>
      <c r="E242" s="151" t="s">
        <v>702</v>
      </c>
      <c r="F242" s="141" t="s">
        <v>764</v>
      </c>
      <c r="G242" s="141" t="s">
        <v>764</v>
      </c>
      <c r="H242" s="141" t="s">
        <v>764</v>
      </c>
      <c r="I242" s="141" t="s">
        <v>764</v>
      </c>
      <c r="J242" s="141" t="s">
        <v>764</v>
      </c>
      <c r="K242" s="141" t="s">
        <v>764</v>
      </c>
      <c r="L242" s="141" t="s">
        <v>764</v>
      </c>
      <c r="M242" s="141" t="s">
        <v>764</v>
      </c>
      <c r="N242" s="141" t="s">
        <v>764</v>
      </c>
      <c r="O242" s="141" t="s">
        <v>764</v>
      </c>
      <c r="P242" s="141" t="s">
        <v>764</v>
      </c>
      <c r="Q242" s="141" t="s">
        <v>764</v>
      </c>
      <c r="R242" s="141" t="s">
        <v>764</v>
      </c>
      <c r="S242" s="141" t="s">
        <v>764</v>
      </c>
      <c r="T242" s="141" t="s">
        <v>764</v>
      </c>
      <c r="U242" s="141" t="s">
        <v>764</v>
      </c>
    </row>
    <row r="243" spans="1:21" x14ac:dyDescent="0.2">
      <c r="A243">
        <f t="shared" si="15"/>
        <v>239</v>
      </c>
      <c r="B243" s="40" t="s">
        <v>23</v>
      </c>
      <c r="C243" s="148" t="str">
        <f t="shared" si="16"/>
        <v>No guidance available</v>
      </c>
      <c r="D243" s="46">
        <f t="shared" si="17"/>
        <v>22</v>
      </c>
      <c r="E243" s="151" t="s">
        <v>702</v>
      </c>
      <c r="F243" s="141" t="s">
        <v>764</v>
      </c>
      <c r="G243" s="141" t="s">
        <v>764</v>
      </c>
      <c r="H243" s="141" t="s">
        <v>764</v>
      </c>
      <c r="I243" s="141" t="s">
        <v>764</v>
      </c>
      <c r="J243" s="141" t="s">
        <v>764</v>
      </c>
      <c r="K243" s="141" t="s">
        <v>764</v>
      </c>
      <c r="L243" s="141" t="s">
        <v>764</v>
      </c>
      <c r="M243" s="141" t="s">
        <v>764</v>
      </c>
      <c r="N243" s="141" t="s">
        <v>764</v>
      </c>
      <c r="O243" s="141" t="s">
        <v>764</v>
      </c>
      <c r="P243" s="141" t="s">
        <v>764</v>
      </c>
      <c r="Q243" s="141" t="s">
        <v>764</v>
      </c>
      <c r="R243" s="141" t="s">
        <v>764</v>
      </c>
      <c r="S243" s="141" t="s">
        <v>764</v>
      </c>
      <c r="T243" s="141" t="s">
        <v>764</v>
      </c>
      <c r="U243" s="141" t="s">
        <v>764</v>
      </c>
    </row>
    <row r="244" spans="1:21" x14ac:dyDescent="0.2">
      <c r="A244">
        <f t="shared" si="15"/>
        <v>240</v>
      </c>
      <c r="B244" s="40" t="s">
        <v>24</v>
      </c>
      <c r="C244" s="148" t="str">
        <f t="shared" si="16"/>
        <v>No guidance available</v>
      </c>
      <c r="D244" s="46">
        <f t="shared" si="17"/>
        <v>23</v>
      </c>
      <c r="E244" s="151" t="s">
        <v>702</v>
      </c>
      <c r="F244" s="141" t="s">
        <v>764</v>
      </c>
      <c r="G244" s="141" t="s">
        <v>764</v>
      </c>
      <c r="H244" s="141" t="s">
        <v>764</v>
      </c>
      <c r="I244" s="141" t="s">
        <v>764</v>
      </c>
      <c r="J244" s="141" t="s">
        <v>764</v>
      </c>
      <c r="K244" s="141" t="s">
        <v>764</v>
      </c>
      <c r="L244" s="141" t="s">
        <v>764</v>
      </c>
      <c r="M244" s="141" t="s">
        <v>764</v>
      </c>
      <c r="N244" s="141" t="s">
        <v>764</v>
      </c>
      <c r="O244" s="141" t="s">
        <v>764</v>
      </c>
      <c r="P244" s="141" t="s">
        <v>764</v>
      </c>
      <c r="Q244" s="141" t="s">
        <v>764</v>
      </c>
      <c r="R244" s="141" t="s">
        <v>764</v>
      </c>
      <c r="S244" s="141" t="s">
        <v>764</v>
      </c>
      <c r="T244" s="141" t="s">
        <v>764</v>
      </c>
      <c r="U244" s="141" t="s">
        <v>764</v>
      </c>
    </row>
    <row r="245" spans="1:21" x14ac:dyDescent="0.2">
      <c r="A245">
        <f t="shared" si="15"/>
        <v>241</v>
      </c>
      <c r="B245" s="40" t="s">
        <v>25</v>
      </c>
      <c r="C245" s="148" t="str">
        <f t="shared" si="16"/>
        <v>No guidance available</v>
      </c>
      <c r="D245" s="46">
        <f t="shared" si="17"/>
        <v>24</v>
      </c>
      <c r="E245" s="151" t="s">
        <v>702</v>
      </c>
      <c r="F245" s="141" t="s">
        <v>764</v>
      </c>
      <c r="G245" s="141" t="s">
        <v>764</v>
      </c>
      <c r="H245" s="141" t="s">
        <v>764</v>
      </c>
      <c r="I245" s="141" t="s">
        <v>764</v>
      </c>
      <c r="J245" s="141" t="s">
        <v>764</v>
      </c>
      <c r="K245" s="141" t="s">
        <v>764</v>
      </c>
      <c r="L245" s="141" t="s">
        <v>764</v>
      </c>
      <c r="M245" s="141" t="s">
        <v>764</v>
      </c>
      <c r="N245" s="141" t="s">
        <v>764</v>
      </c>
      <c r="O245" s="141" t="s">
        <v>764</v>
      </c>
      <c r="P245" s="141" t="s">
        <v>764</v>
      </c>
      <c r="Q245" s="141" t="s">
        <v>764</v>
      </c>
      <c r="R245" s="141" t="s">
        <v>764</v>
      </c>
      <c r="S245" s="141" t="s">
        <v>764</v>
      </c>
      <c r="T245" s="141" t="s">
        <v>764</v>
      </c>
      <c r="U245" s="141" t="s">
        <v>764</v>
      </c>
    </row>
    <row r="246" spans="1:21" x14ac:dyDescent="0.2">
      <c r="A246">
        <f t="shared" si="15"/>
        <v>242</v>
      </c>
      <c r="B246" s="40" t="s">
        <v>26</v>
      </c>
      <c r="C246" s="148" t="str">
        <f t="shared" si="16"/>
        <v>No guidance available</v>
      </c>
      <c r="D246" s="46">
        <f t="shared" si="17"/>
        <v>25</v>
      </c>
      <c r="E246" s="151" t="s">
        <v>702</v>
      </c>
      <c r="F246" s="141" t="s">
        <v>764</v>
      </c>
      <c r="G246" s="141" t="s">
        <v>764</v>
      </c>
      <c r="H246" s="141" t="s">
        <v>764</v>
      </c>
      <c r="I246" s="141" t="s">
        <v>764</v>
      </c>
      <c r="J246" s="141" t="s">
        <v>764</v>
      </c>
      <c r="K246" s="141" t="s">
        <v>764</v>
      </c>
      <c r="L246" s="141" t="s">
        <v>764</v>
      </c>
      <c r="M246" s="141" t="s">
        <v>764</v>
      </c>
      <c r="N246" s="141" t="s">
        <v>764</v>
      </c>
      <c r="O246" s="141" t="s">
        <v>764</v>
      </c>
      <c r="P246" s="141" t="s">
        <v>764</v>
      </c>
      <c r="Q246" s="141" t="s">
        <v>764</v>
      </c>
      <c r="R246" s="141" t="s">
        <v>764</v>
      </c>
      <c r="S246" s="141" t="s">
        <v>764</v>
      </c>
      <c r="T246" s="141" t="s">
        <v>764</v>
      </c>
      <c r="U246" s="141" t="s">
        <v>764</v>
      </c>
    </row>
    <row r="247" spans="1:21" x14ac:dyDescent="0.2">
      <c r="A247">
        <f t="shared" si="15"/>
        <v>243</v>
      </c>
      <c r="B247" s="40" t="s">
        <v>361</v>
      </c>
      <c r="C247" s="148" t="str">
        <f t="shared" si="16"/>
        <v>No guidance available</v>
      </c>
      <c r="D247" s="46">
        <f t="shared" si="17"/>
        <v>26</v>
      </c>
      <c r="E247" s="151" t="s">
        <v>702</v>
      </c>
      <c r="F247" s="141" t="s">
        <v>764</v>
      </c>
      <c r="G247" s="141" t="s">
        <v>764</v>
      </c>
      <c r="H247" s="141" t="s">
        <v>764</v>
      </c>
      <c r="I247" s="141" t="s">
        <v>764</v>
      </c>
      <c r="J247" s="141" t="s">
        <v>764</v>
      </c>
      <c r="K247" s="141" t="s">
        <v>764</v>
      </c>
      <c r="L247" s="141" t="s">
        <v>764</v>
      </c>
      <c r="M247" s="141" t="s">
        <v>764</v>
      </c>
      <c r="N247" s="141" t="s">
        <v>764</v>
      </c>
      <c r="O247" s="141" t="s">
        <v>764</v>
      </c>
      <c r="P247" s="141" t="s">
        <v>764</v>
      </c>
      <c r="Q247" s="141" t="s">
        <v>764</v>
      </c>
      <c r="R247" s="141" t="s">
        <v>764</v>
      </c>
      <c r="S247" s="141" t="s">
        <v>764</v>
      </c>
      <c r="T247" s="141" t="s">
        <v>764</v>
      </c>
      <c r="U247" s="141" t="s">
        <v>764</v>
      </c>
    </row>
    <row r="248" spans="1:21" x14ac:dyDescent="0.2">
      <c r="A248">
        <f t="shared" si="15"/>
        <v>244</v>
      </c>
      <c r="B248" s="40" t="s">
        <v>654</v>
      </c>
      <c r="C248" s="148" t="str">
        <f t="shared" si="16"/>
        <v>No guidance available</v>
      </c>
      <c r="D248" s="46">
        <f t="shared" si="17"/>
        <v>27</v>
      </c>
      <c r="E248" s="151" t="s">
        <v>702</v>
      </c>
      <c r="F248" s="141" t="s">
        <v>764</v>
      </c>
      <c r="G248" s="141" t="s">
        <v>764</v>
      </c>
      <c r="H248" s="141" t="s">
        <v>764</v>
      </c>
      <c r="I248" s="141" t="s">
        <v>764</v>
      </c>
      <c r="J248" s="141" t="s">
        <v>764</v>
      </c>
      <c r="K248" s="141" t="s">
        <v>764</v>
      </c>
      <c r="L248" s="141" t="s">
        <v>764</v>
      </c>
      <c r="M248" s="141" t="s">
        <v>764</v>
      </c>
      <c r="N248" s="141" t="s">
        <v>764</v>
      </c>
      <c r="O248" s="141" t="s">
        <v>764</v>
      </c>
      <c r="P248" s="141" t="s">
        <v>764</v>
      </c>
      <c r="Q248" s="141" t="s">
        <v>764</v>
      </c>
      <c r="R248" s="141" t="s">
        <v>764</v>
      </c>
      <c r="S248" s="141" t="s">
        <v>764</v>
      </c>
      <c r="T248" s="141" t="s">
        <v>764</v>
      </c>
      <c r="U248" s="141" t="s">
        <v>764</v>
      </c>
    </row>
    <row r="249" spans="1:21" x14ac:dyDescent="0.2">
      <c r="A249">
        <f t="shared" si="15"/>
        <v>245</v>
      </c>
      <c r="B249" s="47" t="s">
        <v>28</v>
      </c>
      <c r="C249" s="148" t="str">
        <f t="shared" si="16"/>
        <v>No guidance available</v>
      </c>
      <c r="D249" s="46">
        <f t="shared" si="17"/>
        <v>28</v>
      </c>
      <c r="E249" s="151" t="s">
        <v>702</v>
      </c>
      <c r="F249" s="141" t="s">
        <v>764</v>
      </c>
      <c r="G249" s="141" t="s">
        <v>764</v>
      </c>
      <c r="H249" s="141" t="s">
        <v>764</v>
      </c>
      <c r="I249" s="141" t="s">
        <v>764</v>
      </c>
      <c r="J249" s="141" t="s">
        <v>764</v>
      </c>
      <c r="K249" s="141" t="s">
        <v>764</v>
      </c>
      <c r="L249" s="141" t="s">
        <v>764</v>
      </c>
      <c r="M249" s="141" t="s">
        <v>764</v>
      </c>
      <c r="N249" s="141" t="s">
        <v>764</v>
      </c>
      <c r="O249" s="141" t="s">
        <v>764</v>
      </c>
      <c r="P249" s="141" t="s">
        <v>764</v>
      </c>
      <c r="Q249" s="141" t="s">
        <v>764</v>
      </c>
      <c r="R249" s="141" t="s">
        <v>764</v>
      </c>
      <c r="S249" s="141" t="s">
        <v>764</v>
      </c>
      <c r="T249" s="141" t="s">
        <v>764</v>
      </c>
      <c r="U249" s="141" t="s">
        <v>764</v>
      </c>
    </row>
    <row r="250" spans="1:21" x14ac:dyDescent="0.2">
      <c r="A250">
        <f t="shared" si="15"/>
        <v>246</v>
      </c>
      <c r="B250" s="47" t="s">
        <v>27</v>
      </c>
      <c r="C250" s="148" t="str">
        <f t="shared" si="16"/>
        <v>No guidance available</v>
      </c>
      <c r="D250" s="46">
        <f t="shared" si="17"/>
        <v>29</v>
      </c>
      <c r="E250" s="151" t="s">
        <v>702</v>
      </c>
      <c r="F250" s="141" t="s">
        <v>764</v>
      </c>
      <c r="G250" s="141" t="s">
        <v>764</v>
      </c>
      <c r="H250" s="141" t="s">
        <v>764</v>
      </c>
      <c r="I250" s="141" t="s">
        <v>764</v>
      </c>
      <c r="J250" s="141" t="s">
        <v>764</v>
      </c>
      <c r="K250" s="141" t="s">
        <v>764</v>
      </c>
      <c r="L250" s="141" t="s">
        <v>764</v>
      </c>
      <c r="M250" s="141" t="s">
        <v>764</v>
      </c>
      <c r="N250" s="141" t="s">
        <v>764</v>
      </c>
      <c r="O250" s="141" t="s">
        <v>764</v>
      </c>
      <c r="P250" s="141" t="s">
        <v>764</v>
      </c>
      <c r="Q250" s="141" t="s">
        <v>764</v>
      </c>
      <c r="R250" s="141" t="s">
        <v>764</v>
      </c>
      <c r="S250" s="141" t="s">
        <v>764</v>
      </c>
      <c r="T250" s="141" t="s">
        <v>764</v>
      </c>
      <c r="U250" s="141" t="s">
        <v>764</v>
      </c>
    </row>
    <row r="251" spans="1:21" x14ac:dyDescent="0.2">
      <c r="A251">
        <f t="shared" si="15"/>
        <v>247</v>
      </c>
      <c r="B251" s="47" t="s">
        <v>757</v>
      </c>
      <c r="C251" s="148" t="str">
        <f t="shared" si="16"/>
        <v>No guidance available</v>
      </c>
      <c r="D251" s="46">
        <f t="shared" si="17"/>
        <v>30</v>
      </c>
      <c r="E251" s="151" t="s">
        <v>702</v>
      </c>
      <c r="F251" s="141" t="s">
        <v>764</v>
      </c>
      <c r="G251" s="141" t="s">
        <v>764</v>
      </c>
      <c r="H251" s="141" t="s">
        <v>764</v>
      </c>
      <c r="I251" s="141" t="s">
        <v>764</v>
      </c>
      <c r="J251" s="141" t="s">
        <v>764</v>
      </c>
      <c r="K251" s="141" t="s">
        <v>764</v>
      </c>
      <c r="L251" s="141" t="s">
        <v>764</v>
      </c>
      <c r="M251" s="141" t="s">
        <v>764</v>
      </c>
      <c r="N251" s="141" t="s">
        <v>764</v>
      </c>
      <c r="O251" s="141" t="s">
        <v>764</v>
      </c>
      <c r="P251" s="141" t="s">
        <v>764</v>
      </c>
      <c r="Q251" s="141" t="s">
        <v>764</v>
      </c>
      <c r="R251" s="141" t="s">
        <v>764</v>
      </c>
      <c r="S251" s="141" t="s">
        <v>764</v>
      </c>
      <c r="T251" s="141" t="s">
        <v>764</v>
      </c>
      <c r="U251" s="141" t="s">
        <v>764</v>
      </c>
    </row>
    <row r="252" spans="1:21" x14ac:dyDescent="0.2">
      <c r="A252">
        <f t="shared" si="15"/>
        <v>248</v>
      </c>
      <c r="B252" s="40" t="s">
        <v>678</v>
      </c>
      <c r="C252" s="148" t="str">
        <f t="shared" si="16"/>
        <v>No guidance available</v>
      </c>
      <c r="D252" s="46">
        <f t="shared" si="17"/>
        <v>31</v>
      </c>
      <c r="E252" s="151" t="s">
        <v>702</v>
      </c>
      <c r="F252" s="141" t="s">
        <v>764</v>
      </c>
      <c r="G252" s="141" t="s">
        <v>764</v>
      </c>
      <c r="H252" s="141" t="s">
        <v>764</v>
      </c>
      <c r="I252" s="141" t="s">
        <v>764</v>
      </c>
      <c r="J252" s="141" t="s">
        <v>764</v>
      </c>
      <c r="K252" s="141" t="s">
        <v>764</v>
      </c>
      <c r="L252" s="141" t="s">
        <v>764</v>
      </c>
      <c r="M252" s="141" t="s">
        <v>764</v>
      </c>
      <c r="N252" s="141" t="s">
        <v>764</v>
      </c>
      <c r="O252" s="141" t="s">
        <v>764</v>
      </c>
      <c r="P252" s="141" t="s">
        <v>764</v>
      </c>
      <c r="Q252" s="141" t="s">
        <v>764</v>
      </c>
      <c r="R252" s="141" t="s">
        <v>764</v>
      </c>
      <c r="S252" s="141" t="s">
        <v>764</v>
      </c>
      <c r="T252" s="141" t="s">
        <v>764</v>
      </c>
      <c r="U252" s="141" t="s">
        <v>764</v>
      </c>
    </row>
    <row r="253" spans="1:21" x14ac:dyDescent="0.2">
      <c r="A253">
        <f t="shared" si="15"/>
        <v>249</v>
      </c>
      <c r="B253" s="41" t="s">
        <v>679</v>
      </c>
      <c r="C253" s="148" t="str">
        <f t="shared" si="16"/>
        <v>No guidance available</v>
      </c>
      <c r="D253" s="46">
        <f t="shared" si="17"/>
        <v>32</v>
      </c>
      <c r="E253" s="151" t="s">
        <v>702</v>
      </c>
      <c r="F253" s="141" t="s">
        <v>764</v>
      </c>
      <c r="G253" s="141" t="s">
        <v>764</v>
      </c>
      <c r="H253" s="141" t="s">
        <v>764</v>
      </c>
      <c r="I253" s="141" t="s">
        <v>764</v>
      </c>
      <c r="J253" s="141" t="s">
        <v>764</v>
      </c>
      <c r="K253" s="141" t="s">
        <v>764</v>
      </c>
      <c r="L253" s="141" t="s">
        <v>764</v>
      </c>
      <c r="M253" s="141" t="s">
        <v>764</v>
      </c>
      <c r="N253" s="141" t="s">
        <v>764</v>
      </c>
      <c r="O253" s="141" t="s">
        <v>764</v>
      </c>
      <c r="P253" s="141" t="s">
        <v>764</v>
      </c>
      <c r="Q253" s="141" t="s">
        <v>764</v>
      </c>
      <c r="R253" s="141" t="s">
        <v>764</v>
      </c>
      <c r="S253" s="141" t="s">
        <v>764</v>
      </c>
      <c r="T253" s="141" t="s">
        <v>764</v>
      </c>
      <c r="U253" s="141" t="s">
        <v>764</v>
      </c>
    </row>
    <row r="254" spans="1:21" x14ac:dyDescent="0.2">
      <c r="A254">
        <f t="shared" si="15"/>
        <v>250</v>
      </c>
      <c r="B254" s="41" t="s">
        <v>680</v>
      </c>
      <c r="C254" s="139"/>
      <c r="D254" s="46">
        <f t="shared" si="17"/>
        <v>33</v>
      </c>
      <c r="E254" s="139"/>
      <c r="F254" s="139"/>
      <c r="G254" s="139"/>
      <c r="H254" s="139"/>
      <c r="I254" s="139"/>
      <c r="J254" s="139"/>
      <c r="K254" s="139"/>
      <c r="L254" s="139"/>
      <c r="M254" s="139"/>
      <c r="N254" s="139"/>
      <c r="O254" s="139"/>
      <c r="P254" s="139"/>
      <c r="Q254" s="139"/>
      <c r="R254" s="139"/>
      <c r="S254" s="139"/>
      <c r="T254" s="733"/>
      <c r="U254" s="748"/>
    </row>
    <row r="255" spans="1:21" x14ac:dyDescent="0.2">
      <c r="A255">
        <f t="shared" si="15"/>
        <v>251</v>
      </c>
      <c r="B255" s="41" t="s">
        <v>681</v>
      </c>
      <c r="C255" s="148" t="str">
        <f>HLOOKUP($C$2,$E$5:$T$255,$A255,FALSE)</f>
        <v>No guidance available</v>
      </c>
      <c r="D255" s="46">
        <f t="shared" si="17"/>
        <v>34</v>
      </c>
      <c r="E255" s="151" t="s">
        <v>702</v>
      </c>
      <c r="F255" s="141" t="s">
        <v>764</v>
      </c>
      <c r="G255" s="141" t="s">
        <v>764</v>
      </c>
      <c r="H255" s="141" t="s">
        <v>764</v>
      </c>
      <c r="I255" s="141" t="s">
        <v>764</v>
      </c>
      <c r="J255" s="141" t="s">
        <v>764</v>
      </c>
      <c r="K255" s="141" t="s">
        <v>764</v>
      </c>
      <c r="L255" s="141" t="s">
        <v>764</v>
      </c>
      <c r="M255" s="141" t="s">
        <v>764</v>
      </c>
      <c r="N255" s="141" t="s">
        <v>764</v>
      </c>
      <c r="O255" s="141" t="s">
        <v>764</v>
      </c>
      <c r="P255" s="141" t="s">
        <v>764</v>
      </c>
      <c r="Q255" s="141" t="s">
        <v>764</v>
      </c>
      <c r="R255" s="141" t="s">
        <v>764</v>
      </c>
      <c r="S255" s="141" t="s">
        <v>764</v>
      </c>
      <c r="T255" s="141" t="s">
        <v>764</v>
      </c>
      <c r="U255" s="141" t="s">
        <v>764</v>
      </c>
    </row>
    <row r="256" spans="1:21" x14ac:dyDescent="0.2">
      <c r="G256" s="124"/>
      <c r="M256" s="152"/>
      <c r="N256" s="152"/>
      <c r="O256" s="152"/>
      <c r="P256" s="152"/>
      <c r="Q256" s="152"/>
      <c r="R256" s="152"/>
      <c r="S256" s="152"/>
      <c r="T256" s="152"/>
      <c r="U256" s="152"/>
    </row>
    <row r="257" spans="1:21" x14ac:dyDescent="0.2">
      <c r="B257" s="150" t="s">
        <v>1011</v>
      </c>
      <c r="E257" s="145">
        <f t="shared" ref="E257:J257" si="18">+E5</f>
        <v>2003</v>
      </c>
      <c r="F257" s="145">
        <f t="shared" si="18"/>
        <v>2004</v>
      </c>
      <c r="G257" s="145">
        <f t="shared" si="18"/>
        <v>2005</v>
      </c>
      <c r="H257" s="145">
        <f t="shared" si="18"/>
        <v>2006</v>
      </c>
      <c r="I257" s="145">
        <f t="shared" si="18"/>
        <v>2007</v>
      </c>
      <c r="J257" s="145">
        <f t="shared" si="18"/>
        <v>2008</v>
      </c>
      <c r="K257" s="145">
        <f t="shared" ref="K257:P257" si="19">+K5</f>
        <v>2009</v>
      </c>
      <c r="L257" s="145">
        <f t="shared" si="19"/>
        <v>2010</v>
      </c>
      <c r="M257" s="145">
        <f t="shared" si="19"/>
        <v>2011</v>
      </c>
      <c r="N257" s="145">
        <f t="shared" si="19"/>
        <v>2012</v>
      </c>
      <c r="O257" s="145">
        <f t="shared" si="19"/>
        <v>2013</v>
      </c>
      <c r="P257" s="145">
        <f t="shared" si="19"/>
        <v>2014</v>
      </c>
      <c r="Q257" s="145">
        <f>+Q5</f>
        <v>2015</v>
      </c>
      <c r="R257" s="145">
        <f>+R5</f>
        <v>2016</v>
      </c>
      <c r="S257" s="145">
        <f>+S5</f>
        <v>2017</v>
      </c>
      <c r="T257" s="145">
        <f>+T5</f>
        <v>2018</v>
      </c>
      <c r="U257" s="145">
        <f>+U5</f>
        <v>2019</v>
      </c>
    </row>
    <row r="258" spans="1:21" ht="20.100000000000001" customHeight="1" x14ac:dyDescent="0.2">
      <c r="A258" s="1">
        <v>2</v>
      </c>
      <c r="B258" s="45" t="s">
        <v>22</v>
      </c>
      <c r="C258" s="153" t="str">
        <f>IF(Data!B$10=TRUE,C6,IF(Data!B$11=TRUE,C42,IF(Data!B$12=TRUE,C78,IF(Data!B$13=TRUE,C114,IF(Data!B$14=TRUE,C186,IF(Data!B$15=TRUE,C150,C222))))))</f>
        <v>No guidance available</v>
      </c>
      <c r="D258" s="46">
        <v>1</v>
      </c>
      <c r="E258" s="153" t="str">
        <f>IF(Data!$B$10=TRUE,E6,IF(Data!$B$11=TRUE,E42,IF(Data!$B$12=TRUE,E78,IF(Data!$B$13=TRUE,E114,IF(Data!$B$14=TRUE,E186,IF(Data!$B$15=TRUE,E150,E222))))))</f>
        <v>Year not supported</v>
      </c>
      <c r="F258" s="153" t="str">
        <f>IF(Data!$B$10=TRUE,F6,IF(Data!$B$11=TRUE,F42,IF(Data!$B$12=TRUE,F78,IF(Data!$B$13=TRUE,F114,IF(Data!$B$14=TRUE,F186,IF(Data!$B$15=TRUE,F150,F222))))))</f>
        <v>No guidance available</v>
      </c>
      <c r="G258" s="153" t="str">
        <f>IF(Data!$B$10=TRUE,G6,IF(Data!$B$11=TRUE,G42,IF(Data!$B$12=TRUE,G78,IF(Data!$B$13=TRUE,G114,IF(Data!$B$14=TRUE,G186,IF(Data!$B$15=TRUE,G150,G222))))))</f>
        <v>No guidance available</v>
      </c>
      <c r="H258" s="153" t="str">
        <f>IF(Data!$B$10=TRUE,H6,IF(Data!$B$11=TRUE,H42,IF(Data!$B$12=TRUE,H78,IF(Data!$B$13=TRUE,H114,IF(Data!$B$14=TRUE,H186,IF(Data!$B$15=TRUE,H150,H222))))))</f>
        <v>No guidance available</v>
      </c>
      <c r="I258" s="153" t="str">
        <f>IF(Data!$B$10=TRUE,I6,IF(Data!$B$11=TRUE,I42,IF(Data!$B$12=TRUE,I78,IF(Data!$B$13=TRUE,I114,IF(Data!$B$14=TRUE,I186,IF(Data!$B$15=TRUE,I150,I222))))))</f>
        <v>No guidance available</v>
      </c>
      <c r="J258" s="153" t="str">
        <f>IF(Data!$B$10=TRUE,J6,IF(Data!$B$11=TRUE,J42,IF(Data!$B$12=TRUE,J78,IF(Data!$B$13=TRUE,J114,IF(Data!$B$14=TRUE,J186,IF(Data!$B$15=TRUE,J150,J222))))))</f>
        <v>No guidance available</v>
      </c>
      <c r="K258" s="153" t="str">
        <f>IF(Data!$B$10=TRUE,K6,IF(Data!$B$11=TRUE,K42,IF(Data!$B$12=TRUE,K78,IF(Data!$B$13=TRUE,K114,IF(Data!$B$14=TRUE,K186,IF(Data!$B$15=TRUE,K150,K222))))))</f>
        <v>No guidance available</v>
      </c>
      <c r="L258" s="153" t="str">
        <f>IF(Data!$B$10=TRUE,L6,IF(Data!$B$11=TRUE,L42,IF(Data!$B$12=TRUE,L78,IF(Data!$B$13=TRUE,L114,IF(Data!$B$14=TRUE,L186,IF(Data!$B$15=TRUE,L150,L222))))))</f>
        <v>No guidance available</v>
      </c>
      <c r="M258" s="153" t="str">
        <f>IF(Data!$B$10=TRUE,M6,IF(Data!$B$11=TRUE,M42,IF(Data!$B$12=TRUE,M78,IF(Data!$B$13=TRUE,M114,IF(Data!$B$14=TRUE,M186,IF(Data!$B$15=TRUE,M150,M222))))))</f>
        <v>No guidance available</v>
      </c>
      <c r="N258" s="153" t="str">
        <f>IF(Data!$B$10=TRUE,N6,IF(Data!$B$11=TRUE,N42,IF(Data!$B$12=TRUE,N78,IF(Data!$B$13=TRUE,N114,IF(Data!$B$14=TRUE,N186,IF(Data!$B$15=TRUE,N150,N222))))))</f>
        <v>No guidance available</v>
      </c>
      <c r="O258" s="153" t="str">
        <f>IF(Data!$B$10=TRUE,O6,IF(Data!$B$11=TRUE,O42,IF(Data!$B$12=TRUE,O78,IF(Data!$B$13=TRUE,O114,IF(Data!$B$14=TRUE,O186,IF(Data!$B$15=TRUE,O150,O222))))))</f>
        <v>No guidance available</v>
      </c>
      <c r="P258" s="153" t="str">
        <f>IF(Data!$B$10=TRUE,P6,IF(Data!$B$11=TRUE,P42,IF(Data!$B$12=TRUE,P78,IF(Data!$B$13=TRUE,P114,IF(Data!$B$14=TRUE,P186,IF(Data!$B$15=TRUE,P150,P222))))))</f>
        <v>No guidance available</v>
      </c>
      <c r="Q258" s="153" t="str">
        <f>IF(Data!$B$10=TRUE,Q6,IF(Data!$B$11=TRUE,Q42,IF(Data!$B$12=TRUE,Q78,IF(Data!$B$13=TRUE,Q114,IF(Data!$B$14=TRUE,Q186,IF(Data!$B$15=TRUE,Q150,Q222))))))</f>
        <v>No guidance available</v>
      </c>
      <c r="R258" s="153" t="str">
        <f>IF(Data!$B$10=TRUE,R6,IF(Data!$B$11=TRUE,R42,IF(Data!$B$12=TRUE,R78,IF(Data!$B$13=TRUE,R114,IF(Data!$B$14=TRUE,R186,IF(Data!$B$15=TRUE,R150,R222))))))</f>
        <v>No guidance available</v>
      </c>
      <c r="S258" s="153" t="str">
        <f>IF(Data!$B$10=TRUE,S6,IF(Data!$B$11=TRUE,S42,IF(Data!$B$12=TRUE,S78,IF(Data!$B$13=TRUE,S114,IF(Data!$B$14=TRUE,S186,IF(Data!$B$15=TRUE,S150,S222))))))</f>
        <v>No guidance available</v>
      </c>
      <c r="T258" s="153" t="str">
        <f>IF(Data!$B$10=TRUE,T6,IF(Data!$B$11=TRUE,T42,IF(Data!$B$12=TRUE,T78,IF(Data!$B$13=TRUE,T114,IF(Data!$B$14=TRUE,T186,IF(Data!$B$15=TRUE,T150,T222))))))</f>
        <v>No guidance available</v>
      </c>
      <c r="U258" s="153" t="str">
        <f>IF(Data!$B$10=TRUE,U6,IF(Data!$B$11=TRUE,U42,IF(Data!$B$12=TRUE,U78,IF(Data!$B$13=TRUE,U114,IF(Data!$B$14=TRUE,U186,IF(Data!$B$15=TRUE,U150,U222))))))</f>
        <v>No guidance available</v>
      </c>
    </row>
    <row r="259" spans="1:21" x14ac:dyDescent="0.2">
      <c r="A259" s="1">
        <f>+A258+1</f>
        <v>3</v>
      </c>
      <c r="B259" s="45" t="s">
        <v>1261</v>
      </c>
      <c r="C259" s="154" t="str">
        <f>IF(Data!B$10=TRUE,C7,IF(Data!B$11=TRUE,C43,IF(Data!B$12=TRUE,C79,IF(Data!B$13=TRUE,C115,IF(Data!B$14=TRUE,C187,IF(Data!B$15=TRUE,C151,C223))))))</f>
        <v>No guidance available</v>
      </c>
      <c r="D259" s="46">
        <f t="shared" ref="D259:D291" si="20">+D258+1</f>
        <v>2</v>
      </c>
      <c r="E259" s="141" t="str">
        <f>IF(Data!$B$10=TRUE,E7,IF(Data!$B$11=TRUE,E43,IF(Data!$B$12=TRUE,E79,IF(Data!$B$13=TRUE,E115,IF(Data!$B$14=TRUE,E187,IF(Data!$B$15=TRUE,E151,E223))))))</f>
        <v>Year not supported</v>
      </c>
      <c r="F259" s="141" t="str">
        <f>IF(Data!$B$10=TRUE,F7,IF(Data!$B$11=TRUE,F43,IF(Data!$B$12=TRUE,F79,IF(Data!$B$13=TRUE,F115,IF(Data!$B$14=TRUE,F187,IF(Data!$B$15=TRUE,F151,F223))))))</f>
        <v>No guidance available</v>
      </c>
      <c r="G259" s="141" t="str">
        <f>IF(Data!$B$10=TRUE,G7,IF(Data!$B$11=TRUE,G43,IF(Data!$B$12=TRUE,G79,IF(Data!$B$13=TRUE,G115,IF(Data!$B$14=TRUE,G187,IF(Data!$B$15=TRUE,G151,G223))))))</f>
        <v>No guidance available</v>
      </c>
      <c r="H259" s="141" t="str">
        <f>IF(Data!$B$10=TRUE,H7,IF(Data!$B$11=TRUE,H43,IF(Data!$B$12=TRUE,H79,IF(Data!$B$13=TRUE,H115,IF(Data!$B$14=TRUE,H187,IF(Data!$B$15=TRUE,H151,H223))))))</f>
        <v>No guidance available</v>
      </c>
      <c r="I259" s="141" t="str">
        <f>IF(Data!$B$10=TRUE,I7,IF(Data!$B$11=TRUE,I43,IF(Data!$B$12=TRUE,I79,IF(Data!$B$13=TRUE,I115,IF(Data!$B$14=TRUE,I187,IF(Data!$B$15=TRUE,I151,I223))))))</f>
        <v>No guidance available</v>
      </c>
      <c r="J259" s="141" t="str">
        <f>IF(Data!$B$10=TRUE,J7,IF(Data!$B$11=TRUE,J43,IF(Data!$B$12=TRUE,J79,IF(Data!$B$13=TRUE,J115,IF(Data!$B$14=TRUE,J187,IF(Data!$B$15=TRUE,J151,J223))))))</f>
        <v>No guidance available</v>
      </c>
      <c r="K259" s="141" t="str">
        <f>IF(Data!$B$10=TRUE,K7,IF(Data!$B$11=TRUE,K43,IF(Data!$B$12=TRUE,K79,IF(Data!$B$13=TRUE,K115,IF(Data!$B$14=TRUE,K187,IF(Data!$B$15=TRUE,K151,K223))))))</f>
        <v>No guidance available</v>
      </c>
      <c r="L259" s="141" t="str">
        <f>IF(Data!$B$10=TRUE,L7,IF(Data!$B$11=TRUE,L43,IF(Data!$B$12=TRUE,L79,IF(Data!$B$13=TRUE,L115,IF(Data!$B$14=TRUE,L187,IF(Data!$B$15=TRUE,L151,L223))))))</f>
        <v>No guidance available</v>
      </c>
      <c r="M259" s="141" t="str">
        <f>IF(Data!$B$10=TRUE,M7,IF(Data!$B$11=TRUE,M43,IF(Data!$B$12=TRUE,M79,IF(Data!$B$13=TRUE,M115,IF(Data!$B$14=TRUE,M187,IF(Data!$B$15=TRUE,M151,M223))))))</f>
        <v>No guidance available</v>
      </c>
      <c r="N259" s="141" t="str">
        <f>IF(Data!$B$10=TRUE,N7,IF(Data!$B$11=TRUE,N43,IF(Data!$B$12=TRUE,N79,IF(Data!$B$13=TRUE,N115,IF(Data!$B$14=TRUE,N187,IF(Data!$B$15=TRUE,N151,N223))))))</f>
        <v>No guidance available</v>
      </c>
      <c r="O259" s="141" t="str">
        <f>IF(Data!$B$10=TRUE,O7,IF(Data!$B$11=TRUE,O43,IF(Data!$B$12=TRUE,O79,IF(Data!$B$13=TRUE,O115,IF(Data!$B$14=TRUE,O187,IF(Data!$B$15=TRUE,O151,O223))))))</f>
        <v>No guidance available</v>
      </c>
      <c r="P259" s="141" t="str">
        <f>IF(Data!$B$10=TRUE,P7,IF(Data!$B$11=TRUE,P43,IF(Data!$B$12=TRUE,P79,IF(Data!$B$13=TRUE,P115,IF(Data!$B$14=TRUE,P187,IF(Data!$B$15=TRUE,P151,P223))))))</f>
        <v>No guidance available</v>
      </c>
      <c r="Q259" s="141" t="str">
        <f>IF(Data!$B$10=TRUE,Q7,IF(Data!$B$11=TRUE,Q43,IF(Data!$B$12=TRUE,Q79,IF(Data!$B$13=TRUE,Q115,IF(Data!$B$14=TRUE,Q187,IF(Data!$B$15=TRUE,Q151,Q223))))))</f>
        <v>No guidance available</v>
      </c>
      <c r="R259" s="141" t="str">
        <f>IF(Data!$B$10=TRUE,R7,IF(Data!$B$11=TRUE,R43,IF(Data!$B$12=TRUE,R79,IF(Data!$B$13=TRUE,R115,IF(Data!$B$14=TRUE,R187,IF(Data!$B$15=TRUE,R151,R223))))))</f>
        <v>No guidance available</v>
      </c>
      <c r="S259" s="141" t="str">
        <f>IF(Data!$B$10=TRUE,S7,IF(Data!$B$11=TRUE,S43,IF(Data!$B$12=TRUE,S79,IF(Data!$B$13=TRUE,S115,IF(Data!$B$14=TRUE,S187,IF(Data!$B$15=TRUE,S151,S223))))))</f>
        <v>No guidance available</v>
      </c>
      <c r="T259" s="141" t="str">
        <f>IF(Data!$B$10=TRUE,T7,IF(Data!$B$11=TRUE,T43,IF(Data!$B$12=TRUE,T79,IF(Data!$B$13=TRUE,T115,IF(Data!$B$14=TRUE,T187,IF(Data!$B$15=TRUE,T151,T223))))))</f>
        <v>No guidance available</v>
      </c>
      <c r="U259" s="141" t="str">
        <f>IF(Data!$B$10=TRUE,U7,IF(Data!$B$11=TRUE,U43,IF(Data!$B$12=TRUE,U79,IF(Data!$B$13=TRUE,U115,IF(Data!$B$14=TRUE,U187,IF(Data!$B$15=TRUE,U151,U223))))))</f>
        <v>No guidance available</v>
      </c>
    </row>
    <row r="260" spans="1:21" x14ac:dyDescent="0.2">
      <c r="A260" s="1">
        <f t="shared" ref="A260:A296" si="21">+A259+1</f>
        <v>4</v>
      </c>
      <c r="B260" s="41" t="s">
        <v>9</v>
      </c>
      <c r="C260" s="154" t="str">
        <f>IF(Data!B$10=TRUE,C8,IF(Data!B$11=TRUE,C44,IF(Data!B$12=TRUE,C80,IF(Data!B$13=TRUE,C116,IF(Data!B$14=TRUE,C188,IF(Data!B$15=TRUE,C152,C224))))))</f>
        <v>No guidance available</v>
      </c>
      <c r="D260" s="46">
        <f t="shared" si="20"/>
        <v>3</v>
      </c>
      <c r="E260" s="141" t="str">
        <f>IF(Data!$B$10=TRUE,E8,IF(Data!$B$11=TRUE,E44,IF(Data!$B$12=TRUE,E80,IF(Data!$B$13=TRUE,E116,IF(Data!$B$14=TRUE,E188,IF(Data!$B$15=TRUE,E152,E224))))))</f>
        <v>Year not supported</v>
      </c>
      <c r="F260" s="141" t="str">
        <f>IF(Data!$B$10=TRUE,F8,IF(Data!$B$11=TRUE,F44,IF(Data!$B$12=TRUE,F80,IF(Data!$B$13=TRUE,F116,IF(Data!$B$14=TRUE,F188,IF(Data!$B$15=TRUE,F152,F224))))))</f>
        <v>No guidance available</v>
      </c>
      <c r="G260" s="141" t="str">
        <f>IF(Data!$B$10=TRUE,G8,IF(Data!$B$11=TRUE,G44,IF(Data!$B$12=TRUE,G80,IF(Data!$B$13=TRUE,G116,IF(Data!$B$14=TRUE,G188,IF(Data!$B$15=TRUE,G152,G224))))))</f>
        <v>No guidance available</v>
      </c>
      <c r="H260" s="141" t="str">
        <f>IF(Data!$B$10=TRUE,H8,IF(Data!$B$11=TRUE,H44,IF(Data!$B$12=TRUE,H80,IF(Data!$B$13=TRUE,H116,IF(Data!$B$14=TRUE,H188,IF(Data!$B$15=TRUE,H152,H224))))))</f>
        <v>No guidance available</v>
      </c>
      <c r="I260" s="141" t="str">
        <f>IF(Data!$B$10=TRUE,I8,IF(Data!$B$11=TRUE,I44,IF(Data!$B$12=TRUE,I80,IF(Data!$B$13=TRUE,I116,IF(Data!$B$14=TRUE,I188,IF(Data!$B$15=TRUE,I152,I224))))))</f>
        <v>No guidance available</v>
      </c>
      <c r="J260" s="141" t="str">
        <f>IF(Data!$B$10=TRUE,J8,IF(Data!$B$11=TRUE,J44,IF(Data!$B$12=TRUE,J80,IF(Data!$B$13=TRUE,J116,IF(Data!$B$14=TRUE,J188,IF(Data!$B$15=TRUE,J152,J224))))))</f>
        <v>No guidance available</v>
      </c>
      <c r="K260" s="141" t="str">
        <f>IF(Data!$B$10=TRUE,K8,IF(Data!$B$11=TRUE,K44,IF(Data!$B$12=TRUE,K80,IF(Data!$B$13=TRUE,K116,IF(Data!$B$14=TRUE,K188,IF(Data!$B$15=TRUE,K152,K224))))))</f>
        <v>No guidance available</v>
      </c>
      <c r="L260" s="141" t="str">
        <f>IF(Data!$B$10=TRUE,L8,IF(Data!$B$11=TRUE,L44,IF(Data!$B$12=TRUE,L80,IF(Data!$B$13=TRUE,L116,IF(Data!$B$14=TRUE,L188,IF(Data!$B$15=TRUE,L152,L224))))))</f>
        <v>No guidance available</v>
      </c>
      <c r="M260" s="141" t="str">
        <f>IF(Data!$B$10=TRUE,M8,IF(Data!$B$11=TRUE,M44,IF(Data!$B$12=TRUE,M80,IF(Data!$B$13=TRUE,M116,IF(Data!$B$14=TRUE,M188,IF(Data!$B$15=TRUE,M152,M224))))))</f>
        <v>No guidance available</v>
      </c>
      <c r="N260" s="141" t="str">
        <f>IF(Data!$B$10=TRUE,N8,IF(Data!$B$11=TRUE,N44,IF(Data!$B$12=TRUE,N80,IF(Data!$B$13=TRUE,N116,IF(Data!$B$14=TRUE,N188,IF(Data!$B$15=TRUE,N152,N224))))))</f>
        <v>No guidance available</v>
      </c>
      <c r="O260" s="141" t="str">
        <f>IF(Data!$B$10=TRUE,O8,IF(Data!$B$11=TRUE,O44,IF(Data!$B$12=TRUE,O80,IF(Data!$B$13=TRUE,O116,IF(Data!$B$14=TRUE,O188,IF(Data!$B$15=TRUE,O152,O224))))))</f>
        <v>No guidance available</v>
      </c>
      <c r="P260" s="141" t="str">
        <f>IF(Data!$B$10=TRUE,P8,IF(Data!$B$11=TRUE,P44,IF(Data!$B$12=TRUE,P80,IF(Data!$B$13=TRUE,P116,IF(Data!$B$14=TRUE,P188,IF(Data!$B$15=TRUE,P152,P224))))))</f>
        <v>No guidance available</v>
      </c>
      <c r="Q260" s="141" t="str">
        <f>IF(Data!$B$10=TRUE,Q8,IF(Data!$B$11=TRUE,Q44,IF(Data!$B$12=TRUE,Q80,IF(Data!$B$13=TRUE,Q116,IF(Data!$B$14=TRUE,Q188,IF(Data!$B$15=TRUE,Q152,Q224))))))</f>
        <v>No guidance available</v>
      </c>
      <c r="R260" s="141" t="str">
        <f>IF(Data!$B$10=TRUE,R8,IF(Data!$B$11=TRUE,R44,IF(Data!$B$12=TRUE,R80,IF(Data!$B$13=TRUE,R116,IF(Data!$B$14=TRUE,R188,IF(Data!$B$15=TRUE,R152,R224))))))</f>
        <v>No guidance available</v>
      </c>
      <c r="S260" s="141" t="str">
        <f>IF(Data!$B$10=TRUE,S8,IF(Data!$B$11=TRUE,S44,IF(Data!$B$12=TRUE,S80,IF(Data!$B$13=TRUE,S116,IF(Data!$B$14=TRUE,S188,IF(Data!$B$15=TRUE,S152,S224))))))</f>
        <v>No guidance available</v>
      </c>
      <c r="T260" s="141" t="str">
        <f>IF(Data!$B$10=TRUE,T8,IF(Data!$B$11=TRUE,T44,IF(Data!$B$12=TRUE,T80,IF(Data!$B$13=TRUE,T116,IF(Data!$B$14=TRUE,T188,IF(Data!$B$15=TRUE,T152,T224))))))</f>
        <v>No guidance available</v>
      </c>
      <c r="U260" s="141" t="str">
        <f>IF(Data!$B$10=TRUE,U8,IF(Data!$B$11=TRUE,U44,IF(Data!$B$12=TRUE,U80,IF(Data!$B$13=TRUE,U116,IF(Data!$B$14=TRUE,U188,IF(Data!$B$15=TRUE,U152,U224))))))</f>
        <v>No guidance available</v>
      </c>
    </row>
    <row r="261" spans="1:21" x14ac:dyDescent="0.2">
      <c r="A261" s="1">
        <f t="shared" si="21"/>
        <v>5</v>
      </c>
      <c r="B261" s="41" t="s">
        <v>10</v>
      </c>
      <c r="C261" s="154" t="str">
        <f>IF(Data!B$10=TRUE,C9,IF(Data!B$11=TRUE,C45,IF(Data!B$12=TRUE,C81,IF(Data!B$13=TRUE,C117,IF(Data!B$14=TRUE,C189,IF(Data!B$15=TRUE,C153,C225))))))</f>
        <v>No guidance available</v>
      </c>
      <c r="D261" s="46">
        <f t="shared" si="20"/>
        <v>4</v>
      </c>
      <c r="E261" s="141" t="str">
        <f>IF(Data!$B$10=TRUE,E9,IF(Data!$B$11=TRUE,E45,IF(Data!$B$12=TRUE,E81,IF(Data!$B$13=TRUE,E117,IF(Data!$B$14=TRUE,E189,IF(Data!$B$15=TRUE,E153,E225))))))</f>
        <v>Year not supported</v>
      </c>
      <c r="F261" s="141" t="str">
        <f>IF(Data!$B$10=TRUE,F9,IF(Data!$B$11=TRUE,F45,IF(Data!$B$12=TRUE,F81,IF(Data!$B$13=TRUE,F117,IF(Data!$B$14=TRUE,F189,IF(Data!$B$15=TRUE,F153,F225))))))</f>
        <v>No guidance available</v>
      </c>
      <c r="G261" s="141" t="str">
        <f>IF(Data!$B$10=TRUE,G9,IF(Data!$B$11=TRUE,G45,IF(Data!$B$12=TRUE,G81,IF(Data!$B$13=TRUE,G117,IF(Data!$B$14=TRUE,G189,IF(Data!$B$15=TRUE,G153,G225))))))</f>
        <v>No guidance available</v>
      </c>
      <c r="H261" s="141" t="str">
        <f>IF(Data!$B$10=TRUE,H9,IF(Data!$B$11=TRUE,H45,IF(Data!$B$12=TRUE,H81,IF(Data!$B$13=TRUE,H117,IF(Data!$B$14=TRUE,H189,IF(Data!$B$15=TRUE,H153,H225))))))</f>
        <v>No guidance available</v>
      </c>
      <c r="I261" s="141" t="str">
        <f>IF(Data!$B$10=TRUE,I9,IF(Data!$B$11=TRUE,I45,IF(Data!$B$12=TRUE,I81,IF(Data!$B$13=TRUE,I117,IF(Data!$B$14=TRUE,I189,IF(Data!$B$15=TRUE,I153,I225))))))</f>
        <v>No guidance available</v>
      </c>
      <c r="J261" s="141" t="str">
        <f>IF(Data!$B$10=TRUE,J9,IF(Data!$B$11=TRUE,J45,IF(Data!$B$12=TRUE,J81,IF(Data!$B$13=TRUE,J117,IF(Data!$B$14=TRUE,J189,IF(Data!$B$15=TRUE,J153,J225))))))</f>
        <v>No guidance available</v>
      </c>
      <c r="K261" s="141" t="str">
        <f>IF(Data!$B$10=TRUE,K9,IF(Data!$B$11=TRUE,K45,IF(Data!$B$12=TRUE,K81,IF(Data!$B$13=TRUE,K117,IF(Data!$B$14=TRUE,K189,IF(Data!$B$15=TRUE,K153,K225))))))</f>
        <v>No guidance available</v>
      </c>
      <c r="L261" s="141" t="str">
        <f>IF(Data!$B$10=TRUE,L9,IF(Data!$B$11=TRUE,L45,IF(Data!$B$12=TRUE,L81,IF(Data!$B$13=TRUE,L117,IF(Data!$B$14=TRUE,L189,IF(Data!$B$15=TRUE,L153,L225))))))</f>
        <v>No guidance available</v>
      </c>
      <c r="M261" s="141" t="str">
        <f>IF(Data!$B$10=TRUE,M9,IF(Data!$B$11=TRUE,M45,IF(Data!$B$12=TRUE,M81,IF(Data!$B$13=TRUE,M117,IF(Data!$B$14=TRUE,M189,IF(Data!$B$15=TRUE,M153,M225))))))</f>
        <v>No guidance available</v>
      </c>
      <c r="N261" s="141" t="str">
        <f>IF(Data!$B$10=TRUE,N9,IF(Data!$B$11=TRUE,N45,IF(Data!$B$12=TRUE,N81,IF(Data!$B$13=TRUE,N117,IF(Data!$B$14=TRUE,N189,IF(Data!$B$15=TRUE,N153,N225))))))</f>
        <v>No guidance available</v>
      </c>
      <c r="O261" s="141" t="str">
        <f>IF(Data!$B$10=TRUE,O9,IF(Data!$B$11=TRUE,O45,IF(Data!$B$12=TRUE,O81,IF(Data!$B$13=TRUE,O117,IF(Data!$B$14=TRUE,O189,IF(Data!$B$15=TRUE,O153,O225))))))</f>
        <v>No guidance available</v>
      </c>
      <c r="P261" s="141" t="str">
        <f>IF(Data!$B$10=TRUE,P9,IF(Data!$B$11=TRUE,P45,IF(Data!$B$12=TRUE,P81,IF(Data!$B$13=TRUE,P117,IF(Data!$B$14=TRUE,P189,IF(Data!$B$15=TRUE,P153,P225))))))</f>
        <v>No guidance available</v>
      </c>
      <c r="Q261" s="141" t="str">
        <f>IF(Data!$B$10=TRUE,Q9,IF(Data!$B$11=TRUE,Q45,IF(Data!$B$12=TRUE,Q81,IF(Data!$B$13=TRUE,Q117,IF(Data!$B$14=TRUE,Q189,IF(Data!$B$15=TRUE,Q153,Q225))))))</f>
        <v>No guidance available</v>
      </c>
      <c r="R261" s="141" t="str">
        <f>IF(Data!$B$10=TRUE,R9,IF(Data!$B$11=TRUE,R45,IF(Data!$B$12=TRUE,R81,IF(Data!$B$13=TRUE,R117,IF(Data!$B$14=TRUE,R189,IF(Data!$B$15=TRUE,R153,R225))))))</f>
        <v>No guidance available</v>
      </c>
      <c r="S261" s="141" t="str">
        <f>IF(Data!$B$10=TRUE,S9,IF(Data!$B$11=TRUE,S45,IF(Data!$B$12=TRUE,S81,IF(Data!$B$13=TRUE,S117,IF(Data!$B$14=TRUE,S189,IF(Data!$B$15=TRUE,S153,S225))))))</f>
        <v>No guidance available</v>
      </c>
      <c r="T261" s="141" t="str">
        <f>IF(Data!$B$10=TRUE,T9,IF(Data!$B$11=TRUE,T45,IF(Data!$B$12=TRUE,T81,IF(Data!$B$13=TRUE,T117,IF(Data!$B$14=TRUE,T189,IF(Data!$B$15=TRUE,T153,T225))))))</f>
        <v>No guidance available</v>
      </c>
      <c r="U261" s="141" t="str">
        <f>IF(Data!$B$10=TRUE,U9,IF(Data!$B$11=TRUE,U45,IF(Data!$B$12=TRUE,U81,IF(Data!$B$13=TRUE,U117,IF(Data!$B$14=TRUE,U189,IF(Data!$B$15=TRUE,U153,U225))))))</f>
        <v>No guidance available</v>
      </c>
    </row>
    <row r="262" spans="1:21" x14ac:dyDescent="0.2">
      <c r="A262" s="1">
        <f t="shared" si="21"/>
        <v>6</v>
      </c>
      <c r="B262" s="40" t="s">
        <v>11</v>
      </c>
      <c r="C262" s="154" t="str">
        <f>IF(Data!B$10=TRUE,C10,IF(Data!B$11=TRUE,C46,IF(Data!B$12=TRUE,C82,IF(Data!B$13=TRUE,C118,IF(Data!B$14=TRUE,C190,IF(Data!B$15=TRUE,C154,C226))))))</f>
        <v>No guidance available</v>
      </c>
      <c r="D262" s="46">
        <f t="shared" si="20"/>
        <v>5</v>
      </c>
      <c r="E262" s="141" t="str">
        <f>IF(Data!$B$10=TRUE,E10,IF(Data!$B$11=TRUE,E46,IF(Data!$B$12=TRUE,E82,IF(Data!$B$13=TRUE,E118,IF(Data!$B$14=TRUE,E190,IF(Data!$B$15=TRUE,E154,E226))))))</f>
        <v>Year not supported</v>
      </c>
      <c r="F262" s="141" t="str">
        <f>IF(Data!$B$10=TRUE,F10,IF(Data!$B$11=TRUE,F46,IF(Data!$B$12=TRUE,F82,IF(Data!$B$13=TRUE,F118,IF(Data!$B$14=TRUE,F190,IF(Data!$B$15=TRUE,F154,F226))))))</f>
        <v>No guidance available</v>
      </c>
      <c r="G262" s="141" t="str">
        <f>IF(Data!$B$10=TRUE,G10,IF(Data!$B$11=TRUE,G46,IF(Data!$B$12=TRUE,G82,IF(Data!$B$13=TRUE,G118,IF(Data!$B$14=TRUE,G190,IF(Data!$B$15=TRUE,G154,G226))))))</f>
        <v>No guidance available</v>
      </c>
      <c r="H262" s="141" t="str">
        <f>IF(Data!$B$10=TRUE,H10,IF(Data!$B$11=TRUE,H46,IF(Data!$B$12=TRUE,H82,IF(Data!$B$13=TRUE,H118,IF(Data!$B$14=TRUE,H190,IF(Data!$B$15=TRUE,H154,H226))))))</f>
        <v>No guidance available</v>
      </c>
      <c r="I262" s="141" t="str">
        <f>IF(Data!$B$10=TRUE,I10,IF(Data!$B$11=TRUE,I46,IF(Data!$B$12=TRUE,I82,IF(Data!$B$13=TRUE,I118,IF(Data!$B$14=TRUE,I190,IF(Data!$B$15=TRUE,I154,I226))))))</f>
        <v>No guidance available</v>
      </c>
      <c r="J262" s="141" t="str">
        <f>IF(Data!$B$10=TRUE,J10,IF(Data!$B$11=TRUE,J46,IF(Data!$B$12=TRUE,J82,IF(Data!$B$13=TRUE,J118,IF(Data!$B$14=TRUE,J190,IF(Data!$B$15=TRUE,J154,J226))))))</f>
        <v>No guidance available</v>
      </c>
      <c r="K262" s="141" t="str">
        <f>IF(Data!$B$10=TRUE,K10,IF(Data!$B$11=TRUE,K46,IF(Data!$B$12=TRUE,K82,IF(Data!$B$13=TRUE,K118,IF(Data!$B$14=TRUE,K190,IF(Data!$B$15=TRUE,K154,K226))))))</f>
        <v>No guidance available</v>
      </c>
      <c r="L262" s="141" t="str">
        <f>IF(Data!$B$10=TRUE,L10,IF(Data!$B$11=TRUE,L46,IF(Data!$B$12=TRUE,L82,IF(Data!$B$13=TRUE,L118,IF(Data!$B$14=TRUE,L190,IF(Data!$B$15=TRUE,L154,L226))))))</f>
        <v>No guidance available</v>
      </c>
      <c r="M262" s="141" t="str">
        <f>IF(Data!$B$10=TRUE,M10,IF(Data!$B$11=TRUE,M46,IF(Data!$B$12=TRUE,M82,IF(Data!$B$13=TRUE,M118,IF(Data!$B$14=TRUE,M190,IF(Data!$B$15=TRUE,M154,M226))))))</f>
        <v>No guidance available</v>
      </c>
      <c r="N262" s="141" t="str">
        <f>IF(Data!$B$10=TRUE,N10,IF(Data!$B$11=TRUE,N46,IF(Data!$B$12=TRUE,N82,IF(Data!$B$13=TRUE,N118,IF(Data!$B$14=TRUE,N190,IF(Data!$B$15=TRUE,N154,N226))))))</f>
        <v>No guidance available</v>
      </c>
      <c r="O262" s="141" t="str">
        <f>IF(Data!$B$10=TRUE,O10,IF(Data!$B$11=TRUE,O46,IF(Data!$B$12=TRUE,O82,IF(Data!$B$13=TRUE,O118,IF(Data!$B$14=TRUE,O190,IF(Data!$B$15=TRUE,O154,O226))))))</f>
        <v>No guidance available</v>
      </c>
      <c r="P262" s="141" t="str">
        <f>IF(Data!$B$10=TRUE,P10,IF(Data!$B$11=TRUE,P46,IF(Data!$B$12=TRUE,P82,IF(Data!$B$13=TRUE,P118,IF(Data!$B$14=TRUE,P190,IF(Data!$B$15=TRUE,P154,P226))))))</f>
        <v>No guidance available</v>
      </c>
      <c r="Q262" s="141" t="str">
        <f>IF(Data!$B$10=TRUE,Q10,IF(Data!$B$11=TRUE,Q46,IF(Data!$B$12=TRUE,Q82,IF(Data!$B$13=TRUE,Q118,IF(Data!$B$14=TRUE,Q190,IF(Data!$B$15=TRUE,Q154,Q226))))))</f>
        <v>No guidance available</v>
      </c>
      <c r="R262" s="141" t="str">
        <f>IF(Data!$B$10=TRUE,R10,IF(Data!$B$11=TRUE,R46,IF(Data!$B$12=TRUE,R82,IF(Data!$B$13=TRUE,R118,IF(Data!$B$14=TRUE,R190,IF(Data!$B$15=TRUE,R154,R226))))))</f>
        <v>No guidance available</v>
      </c>
      <c r="S262" s="141" t="str">
        <f>IF(Data!$B$10=TRUE,S10,IF(Data!$B$11=TRUE,S46,IF(Data!$B$12=TRUE,S82,IF(Data!$B$13=TRUE,S118,IF(Data!$B$14=TRUE,S190,IF(Data!$B$15=TRUE,S154,S226))))))</f>
        <v>No guidance available</v>
      </c>
      <c r="T262" s="141" t="str">
        <f>IF(Data!$B$10=TRUE,T10,IF(Data!$B$11=TRUE,T46,IF(Data!$B$12=TRUE,T82,IF(Data!$B$13=TRUE,T118,IF(Data!$B$14=TRUE,T190,IF(Data!$B$15=TRUE,T154,T226))))))</f>
        <v>No guidance available</v>
      </c>
      <c r="U262" s="141" t="str">
        <f>IF(Data!$B$10=TRUE,U10,IF(Data!$B$11=TRUE,U46,IF(Data!$B$12=TRUE,U82,IF(Data!$B$13=TRUE,U118,IF(Data!$B$14=TRUE,U190,IF(Data!$B$15=TRUE,U154,U226))))))</f>
        <v>No guidance available</v>
      </c>
    </row>
    <row r="263" spans="1:21" x14ac:dyDescent="0.2">
      <c r="A263" s="1">
        <f t="shared" si="21"/>
        <v>7</v>
      </c>
      <c r="B263" s="40" t="s">
        <v>112</v>
      </c>
      <c r="C263" s="154" t="str">
        <f>IF(Data!B$10=TRUE,C11,IF(Data!B$11=TRUE,C47,IF(Data!B$12=TRUE,C83,IF(Data!B$13=TRUE,C119,IF(Data!B$14=TRUE,C191,IF(Data!B$15=TRUE,C155,C227))))))</f>
        <v>No guidance available</v>
      </c>
      <c r="D263" s="46">
        <f t="shared" si="20"/>
        <v>6</v>
      </c>
      <c r="E263" s="141" t="str">
        <f>IF(Data!$B$10=TRUE,E11,IF(Data!$B$11=TRUE,E47,IF(Data!$B$12=TRUE,E83,IF(Data!$B$13=TRUE,E119,IF(Data!$B$14=TRUE,E191,IF(Data!$B$15=TRUE,E155,E227))))))</f>
        <v>Year not supported</v>
      </c>
      <c r="F263" s="141" t="str">
        <f>IF(Data!$B$10=TRUE,F11,IF(Data!$B$11=TRUE,F47,IF(Data!$B$12=TRUE,F83,IF(Data!$B$13=TRUE,F119,IF(Data!$B$14=TRUE,F191,IF(Data!$B$15=TRUE,F155,F227))))))</f>
        <v>No guidance available</v>
      </c>
      <c r="G263" s="141" t="str">
        <f>IF(Data!$B$10=TRUE,G11,IF(Data!$B$11=TRUE,G47,IF(Data!$B$12=TRUE,G83,IF(Data!$B$13=TRUE,G119,IF(Data!$B$14=TRUE,G191,IF(Data!$B$15=TRUE,G155,G227))))))</f>
        <v>No guidance available</v>
      </c>
      <c r="H263" s="141" t="str">
        <f>IF(Data!$B$10=TRUE,H11,IF(Data!$B$11=TRUE,H47,IF(Data!$B$12=TRUE,H83,IF(Data!$B$13=TRUE,H119,IF(Data!$B$14=TRUE,H191,IF(Data!$B$15=TRUE,H155,H227))))))</f>
        <v>No guidance available</v>
      </c>
      <c r="I263" s="141" t="str">
        <f>IF(Data!$B$10=TRUE,I11,IF(Data!$B$11=TRUE,I47,IF(Data!$B$12=TRUE,I83,IF(Data!$B$13=TRUE,I119,IF(Data!$B$14=TRUE,I191,IF(Data!$B$15=TRUE,I155,I227))))))</f>
        <v>No guidance available</v>
      </c>
      <c r="J263" s="141" t="str">
        <f>IF(Data!$B$10=TRUE,J11,IF(Data!$B$11=TRUE,J47,IF(Data!$B$12=TRUE,J83,IF(Data!$B$13=TRUE,J119,IF(Data!$B$14=TRUE,J191,IF(Data!$B$15=TRUE,J155,J227))))))</f>
        <v>No guidance available</v>
      </c>
      <c r="K263" s="141" t="str">
        <f>IF(Data!$B$10=TRUE,K11,IF(Data!$B$11=TRUE,K47,IF(Data!$B$12=TRUE,K83,IF(Data!$B$13=TRUE,K119,IF(Data!$B$14=TRUE,K191,IF(Data!$B$15=TRUE,K155,K227))))))</f>
        <v>No guidance available</v>
      </c>
      <c r="L263" s="141" t="str">
        <f>IF(Data!$B$10=TRUE,L11,IF(Data!$B$11=TRUE,L47,IF(Data!$B$12=TRUE,L83,IF(Data!$B$13=TRUE,L119,IF(Data!$B$14=TRUE,L191,IF(Data!$B$15=TRUE,L155,L227))))))</f>
        <v>No guidance available</v>
      </c>
      <c r="M263" s="141" t="str">
        <f>IF(Data!$B$10=TRUE,M11,IF(Data!$B$11=TRUE,M47,IF(Data!$B$12=TRUE,M83,IF(Data!$B$13=TRUE,M119,IF(Data!$B$14=TRUE,M191,IF(Data!$B$15=TRUE,M155,M227))))))</f>
        <v>No guidance available</v>
      </c>
      <c r="N263" s="141" t="str">
        <f>IF(Data!$B$10=TRUE,N11,IF(Data!$B$11=TRUE,N47,IF(Data!$B$12=TRUE,N83,IF(Data!$B$13=TRUE,N119,IF(Data!$B$14=TRUE,N191,IF(Data!$B$15=TRUE,N155,N227))))))</f>
        <v>No guidance available</v>
      </c>
      <c r="O263" s="141" t="str">
        <f>IF(Data!$B$10=TRUE,O11,IF(Data!$B$11=TRUE,O47,IF(Data!$B$12=TRUE,O83,IF(Data!$B$13=TRUE,O119,IF(Data!$B$14=TRUE,O191,IF(Data!$B$15=TRUE,O155,O227))))))</f>
        <v>No guidance available</v>
      </c>
      <c r="P263" s="141" t="str">
        <f>IF(Data!$B$10=TRUE,P11,IF(Data!$B$11=TRUE,P47,IF(Data!$B$12=TRUE,P83,IF(Data!$B$13=TRUE,P119,IF(Data!$B$14=TRUE,P191,IF(Data!$B$15=TRUE,P155,P227))))))</f>
        <v>No guidance available</v>
      </c>
      <c r="Q263" s="141" t="str">
        <f>IF(Data!$B$10=TRUE,Q11,IF(Data!$B$11=TRUE,Q47,IF(Data!$B$12=TRUE,Q83,IF(Data!$B$13=TRUE,Q119,IF(Data!$B$14=TRUE,Q191,IF(Data!$B$15=TRUE,Q155,Q227))))))</f>
        <v>No guidance available</v>
      </c>
      <c r="R263" s="141" t="str">
        <f>IF(Data!$B$10=TRUE,R11,IF(Data!$B$11=TRUE,R47,IF(Data!$B$12=TRUE,R83,IF(Data!$B$13=TRUE,R119,IF(Data!$B$14=TRUE,R191,IF(Data!$B$15=TRUE,R155,R227))))))</f>
        <v>No guidance available</v>
      </c>
      <c r="S263" s="141" t="str">
        <f>IF(Data!$B$10=TRUE,S11,IF(Data!$B$11=TRUE,S47,IF(Data!$B$12=TRUE,S83,IF(Data!$B$13=TRUE,S119,IF(Data!$B$14=TRUE,S191,IF(Data!$B$15=TRUE,S155,S227))))))</f>
        <v>No guidance available</v>
      </c>
      <c r="T263" s="141" t="str">
        <f>IF(Data!$B$10=TRUE,T11,IF(Data!$B$11=TRUE,T47,IF(Data!$B$12=TRUE,T83,IF(Data!$B$13=TRUE,T119,IF(Data!$B$14=TRUE,T191,IF(Data!$B$15=TRUE,T155,T227))))))</f>
        <v>No guidance available</v>
      </c>
      <c r="U263" s="141" t="str">
        <f>IF(Data!$B$10=TRUE,U11,IF(Data!$B$11=TRUE,U47,IF(Data!$B$12=TRUE,U83,IF(Data!$B$13=TRUE,U119,IF(Data!$B$14=TRUE,U191,IF(Data!$B$15=TRUE,U155,U227))))))</f>
        <v>No guidance available</v>
      </c>
    </row>
    <row r="264" spans="1:21" x14ac:dyDescent="0.2">
      <c r="A264" s="1">
        <f t="shared" si="21"/>
        <v>8</v>
      </c>
      <c r="B264" s="40" t="s">
        <v>1201</v>
      </c>
      <c r="C264" s="154" t="str">
        <f>IF(Data!B$10=TRUE,C12,IF(Data!B$11=TRUE,C48,IF(Data!B$12=TRUE,C84,IF(Data!B$13=TRUE,C120,IF(Data!B$14=TRUE,C192,IF(Data!B$15=TRUE,C156,C228))))))</f>
        <v>No guidance available</v>
      </c>
      <c r="D264" s="46">
        <f t="shared" si="20"/>
        <v>7</v>
      </c>
      <c r="E264" s="141" t="str">
        <f>IF(Data!$B$10=TRUE,E12,IF(Data!$B$11=TRUE,E48,IF(Data!$B$12=TRUE,E84,IF(Data!$B$13=TRUE,E120,IF(Data!$B$14=TRUE,E192,IF(Data!$B$15=TRUE,E156,E228))))))</f>
        <v>Year not supported</v>
      </c>
      <c r="F264" s="141" t="str">
        <f>IF(Data!$B$10=TRUE,F12,IF(Data!$B$11=TRUE,F48,IF(Data!$B$12=TRUE,F84,IF(Data!$B$13=TRUE,F120,IF(Data!$B$14=TRUE,F192,IF(Data!$B$15=TRUE,F156,F228))))))</f>
        <v>No guidance available</v>
      </c>
      <c r="G264" s="141" t="str">
        <f>IF(Data!$B$10=TRUE,G12,IF(Data!$B$11=TRUE,G48,IF(Data!$B$12=TRUE,G84,IF(Data!$B$13=TRUE,G120,IF(Data!$B$14=TRUE,G192,IF(Data!$B$15=TRUE,G156,G228))))))</f>
        <v>No guidance available</v>
      </c>
      <c r="H264" s="141" t="str">
        <f>IF(Data!$B$10=TRUE,H12,IF(Data!$B$11=TRUE,H48,IF(Data!$B$12=TRUE,H84,IF(Data!$B$13=TRUE,H120,IF(Data!$B$14=TRUE,H192,IF(Data!$B$15=TRUE,H156,H228))))))</f>
        <v>No guidance available</v>
      </c>
      <c r="I264" s="141" t="str">
        <f>IF(Data!$B$10=TRUE,I12,IF(Data!$B$11=TRUE,I48,IF(Data!$B$12=TRUE,I84,IF(Data!$B$13=TRUE,I120,IF(Data!$B$14=TRUE,I192,IF(Data!$B$15=TRUE,I156,I228))))))</f>
        <v>No guidance available</v>
      </c>
      <c r="J264" s="141" t="str">
        <f>IF(Data!$B$10=TRUE,J12,IF(Data!$B$11=TRUE,J48,IF(Data!$B$12=TRUE,J84,IF(Data!$B$13=TRUE,J120,IF(Data!$B$14=TRUE,J192,IF(Data!$B$15=TRUE,J156,J228))))))</f>
        <v>No guidance available</v>
      </c>
      <c r="K264" s="141" t="str">
        <f>IF(Data!$B$10=TRUE,K12,IF(Data!$B$11=TRUE,K48,IF(Data!$B$12=TRUE,K84,IF(Data!$B$13=TRUE,K120,IF(Data!$B$14=TRUE,K192,IF(Data!$B$15=TRUE,K156,K228))))))</f>
        <v>No guidance available</v>
      </c>
      <c r="L264" s="141" t="str">
        <f>IF(Data!$B$10=TRUE,L12,IF(Data!$B$11=TRUE,L48,IF(Data!$B$12=TRUE,L84,IF(Data!$B$13=TRUE,L120,IF(Data!$B$14=TRUE,L192,IF(Data!$B$15=TRUE,L156,L228))))))</f>
        <v>No guidance available</v>
      </c>
      <c r="M264" s="141" t="str">
        <f>IF(Data!$B$10=TRUE,M12,IF(Data!$B$11=TRUE,M48,IF(Data!$B$12=TRUE,M84,IF(Data!$B$13=TRUE,M120,IF(Data!$B$14=TRUE,M192,IF(Data!$B$15=TRUE,M156,M228))))))</f>
        <v>No guidance available</v>
      </c>
      <c r="N264" s="141" t="str">
        <f>IF(Data!$B$10=TRUE,N12,IF(Data!$B$11=TRUE,N48,IF(Data!$B$12=TRUE,N84,IF(Data!$B$13=TRUE,N120,IF(Data!$B$14=TRUE,N192,IF(Data!$B$15=TRUE,N156,N228))))))</f>
        <v>No guidance available</v>
      </c>
      <c r="O264" s="141" t="str">
        <f>IF(Data!$B$10=TRUE,O12,IF(Data!$B$11=TRUE,O48,IF(Data!$B$12=TRUE,O84,IF(Data!$B$13=TRUE,O120,IF(Data!$B$14=TRUE,O192,IF(Data!$B$15=TRUE,O156,O228))))))</f>
        <v>No guidance available</v>
      </c>
      <c r="P264" s="141" t="str">
        <f>IF(Data!$B$10=TRUE,P12,IF(Data!$B$11=TRUE,P48,IF(Data!$B$12=TRUE,P84,IF(Data!$B$13=TRUE,P120,IF(Data!$B$14=TRUE,P192,IF(Data!$B$15=TRUE,P156,P228))))))</f>
        <v>No guidance available</v>
      </c>
      <c r="Q264" s="141" t="str">
        <f>IF(Data!$B$10=TRUE,Q12,IF(Data!$B$11=TRUE,Q48,IF(Data!$B$12=TRUE,Q84,IF(Data!$B$13=TRUE,Q120,IF(Data!$B$14=TRUE,Q192,IF(Data!$B$15=TRUE,Q156,Q228))))))</f>
        <v>No guidance available</v>
      </c>
      <c r="R264" s="141" t="str">
        <f>IF(Data!$B$10=TRUE,R12,IF(Data!$B$11=TRUE,R48,IF(Data!$B$12=TRUE,R84,IF(Data!$B$13=TRUE,R120,IF(Data!$B$14=TRUE,R192,IF(Data!$B$15=TRUE,R156,R228))))))</f>
        <v>No guidance available</v>
      </c>
      <c r="S264" s="141" t="str">
        <f>IF(Data!$B$10=TRUE,S12,IF(Data!$B$11=TRUE,S48,IF(Data!$B$12=TRUE,S84,IF(Data!$B$13=TRUE,S120,IF(Data!$B$14=TRUE,S192,IF(Data!$B$15=TRUE,S156,S228))))))</f>
        <v>No guidance available</v>
      </c>
      <c r="T264" s="141" t="str">
        <f>IF(Data!$B$10=TRUE,T12,IF(Data!$B$11=TRUE,T48,IF(Data!$B$12=TRUE,T84,IF(Data!$B$13=TRUE,T120,IF(Data!$B$14=TRUE,T192,IF(Data!$B$15=TRUE,T156,T228))))))</f>
        <v>No guidance available</v>
      </c>
      <c r="U264" s="141" t="str">
        <f>IF(Data!$B$10=TRUE,U12,IF(Data!$B$11=TRUE,U48,IF(Data!$B$12=TRUE,U84,IF(Data!$B$13=TRUE,U120,IF(Data!$B$14=TRUE,U192,IF(Data!$B$15=TRUE,U156,U228))))))</f>
        <v>No guidance available</v>
      </c>
    </row>
    <row r="265" spans="1:21" x14ac:dyDescent="0.2">
      <c r="A265" s="1">
        <f t="shared" si="21"/>
        <v>9</v>
      </c>
      <c r="B265" s="40" t="s">
        <v>1202</v>
      </c>
      <c r="C265" s="154" t="str">
        <f>IF(Data!B$10=TRUE,C13,IF(Data!B$11=TRUE,C49,IF(Data!B$12=TRUE,C85,IF(Data!B$13=TRUE,C121,IF(Data!B$14=TRUE,C193,IF(Data!B$15=TRUE,C157,C229))))))</f>
        <v>No guidance available</v>
      </c>
      <c r="D265" s="46">
        <f t="shared" si="20"/>
        <v>8</v>
      </c>
      <c r="E265" s="141" t="str">
        <f>IF(Data!$B$10=TRUE,E13,IF(Data!$B$11=TRUE,E49,IF(Data!$B$12=TRUE,E85,IF(Data!$B$13=TRUE,E121,IF(Data!$B$14=TRUE,E193,IF(Data!$B$15=TRUE,E157,E229))))))</f>
        <v>Year not supported</v>
      </c>
      <c r="F265" s="141" t="str">
        <f>IF(Data!$B$10=TRUE,F13,IF(Data!$B$11=TRUE,F49,IF(Data!$B$12=TRUE,F85,IF(Data!$B$13=TRUE,F121,IF(Data!$B$14=TRUE,F193,IF(Data!$B$15=TRUE,F157,F229))))))</f>
        <v>No guidance available</v>
      </c>
      <c r="G265" s="141" t="str">
        <f>IF(Data!$B$10=TRUE,G13,IF(Data!$B$11=TRUE,G49,IF(Data!$B$12=TRUE,G85,IF(Data!$B$13=TRUE,G121,IF(Data!$B$14=TRUE,G193,IF(Data!$B$15=TRUE,G157,G229))))))</f>
        <v>No guidance available</v>
      </c>
      <c r="H265" s="141" t="str">
        <f>IF(Data!$B$10=TRUE,H13,IF(Data!$B$11=TRUE,H49,IF(Data!$B$12=TRUE,H85,IF(Data!$B$13=TRUE,H121,IF(Data!$B$14=TRUE,H193,IF(Data!$B$15=TRUE,H157,H229))))))</f>
        <v>No guidance available</v>
      </c>
      <c r="I265" s="141" t="str">
        <f>IF(Data!$B$10=TRUE,I13,IF(Data!$B$11=TRUE,I49,IF(Data!$B$12=TRUE,I85,IF(Data!$B$13=TRUE,I121,IF(Data!$B$14=TRUE,I193,IF(Data!$B$15=TRUE,I157,I229))))))</f>
        <v>No guidance available</v>
      </c>
      <c r="J265" s="141" t="str">
        <f>IF(Data!$B$10=TRUE,J13,IF(Data!$B$11=TRUE,J49,IF(Data!$B$12=TRUE,J85,IF(Data!$B$13=TRUE,J121,IF(Data!$B$14=TRUE,J193,IF(Data!$B$15=TRUE,J157,J229))))))</f>
        <v>No guidance available</v>
      </c>
      <c r="K265" s="141" t="str">
        <f>IF(Data!$B$10=TRUE,K13,IF(Data!$B$11=TRUE,K49,IF(Data!$B$12=TRUE,K85,IF(Data!$B$13=TRUE,K121,IF(Data!$B$14=TRUE,K193,IF(Data!$B$15=TRUE,K157,K229))))))</f>
        <v>No guidance available</v>
      </c>
      <c r="L265" s="141" t="str">
        <f>IF(Data!$B$10=TRUE,L13,IF(Data!$B$11=TRUE,L49,IF(Data!$B$12=TRUE,L85,IF(Data!$B$13=TRUE,L121,IF(Data!$B$14=TRUE,L193,IF(Data!$B$15=TRUE,L157,L229))))))</f>
        <v>No guidance available</v>
      </c>
      <c r="M265" s="141" t="str">
        <f>IF(Data!$B$10=TRUE,M13,IF(Data!$B$11=TRUE,M49,IF(Data!$B$12=TRUE,M85,IF(Data!$B$13=TRUE,M121,IF(Data!$B$14=TRUE,M193,IF(Data!$B$15=TRUE,M157,M229))))))</f>
        <v>No guidance available</v>
      </c>
      <c r="N265" s="141" t="str">
        <f>IF(Data!$B$10=TRUE,N13,IF(Data!$B$11=TRUE,N49,IF(Data!$B$12=TRUE,N85,IF(Data!$B$13=TRUE,N121,IF(Data!$B$14=TRUE,N193,IF(Data!$B$15=TRUE,N157,N229))))))</f>
        <v>No guidance available</v>
      </c>
      <c r="O265" s="141" t="str">
        <f>IF(Data!$B$10=TRUE,O13,IF(Data!$B$11=TRUE,O49,IF(Data!$B$12=TRUE,O85,IF(Data!$B$13=TRUE,O121,IF(Data!$B$14=TRUE,O193,IF(Data!$B$15=TRUE,O157,O229))))))</f>
        <v>No guidance available</v>
      </c>
      <c r="P265" s="141" t="str">
        <f>IF(Data!$B$10=TRUE,P13,IF(Data!$B$11=TRUE,P49,IF(Data!$B$12=TRUE,P85,IF(Data!$B$13=TRUE,P121,IF(Data!$B$14=TRUE,P193,IF(Data!$B$15=TRUE,P157,P229))))))</f>
        <v>No guidance available</v>
      </c>
      <c r="Q265" s="141" t="str">
        <f>IF(Data!$B$10=TRUE,Q13,IF(Data!$B$11=TRUE,Q49,IF(Data!$B$12=TRUE,Q85,IF(Data!$B$13=TRUE,Q121,IF(Data!$B$14=TRUE,Q193,IF(Data!$B$15=TRUE,Q157,Q229))))))</f>
        <v>No guidance available</v>
      </c>
      <c r="R265" s="141" t="str">
        <f>IF(Data!$B$10=TRUE,R13,IF(Data!$B$11=TRUE,R49,IF(Data!$B$12=TRUE,R85,IF(Data!$B$13=TRUE,R121,IF(Data!$B$14=TRUE,R193,IF(Data!$B$15=TRUE,R157,R229))))))</f>
        <v>No guidance available</v>
      </c>
      <c r="S265" s="141" t="str">
        <f>IF(Data!$B$10=TRUE,S13,IF(Data!$B$11=TRUE,S49,IF(Data!$B$12=TRUE,S85,IF(Data!$B$13=TRUE,S121,IF(Data!$B$14=TRUE,S193,IF(Data!$B$15=TRUE,S157,S229))))))</f>
        <v>No guidance available</v>
      </c>
      <c r="T265" s="141" t="str">
        <f>IF(Data!$B$10=TRUE,T13,IF(Data!$B$11=TRUE,T49,IF(Data!$B$12=TRUE,T85,IF(Data!$B$13=TRUE,T121,IF(Data!$B$14=TRUE,T193,IF(Data!$B$15=TRUE,T157,T229))))))</f>
        <v>No guidance available</v>
      </c>
      <c r="U265" s="141" t="str">
        <f>IF(Data!$B$10=TRUE,U13,IF(Data!$B$11=TRUE,U49,IF(Data!$B$12=TRUE,U85,IF(Data!$B$13=TRUE,U121,IF(Data!$B$14=TRUE,U193,IF(Data!$B$15=TRUE,U157,U229))))))</f>
        <v>No guidance available</v>
      </c>
    </row>
    <row r="266" spans="1:21" x14ac:dyDescent="0.2">
      <c r="A266" s="1">
        <f t="shared" si="21"/>
        <v>10</v>
      </c>
      <c r="B266" s="40" t="s">
        <v>1203</v>
      </c>
      <c r="C266" s="154" t="str">
        <f>IF(Data!B$10=TRUE,C14,IF(Data!B$11=TRUE,C50,IF(Data!B$12=TRUE,C86,IF(Data!B$13=TRUE,C122,IF(Data!B$14=TRUE,C194,IF(Data!B$15=TRUE,C158,C230))))))</f>
        <v>No guidance available</v>
      </c>
      <c r="D266" s="46">
        <f t="shared" si="20"/>
        <v>9</v>
      </c>
      <c r="E266" s="141" t="str">
        <f>IF(Data!$B$10=TRUE,E14,IF(Data!$B$11=TRUE,E50,IF(Data!$B$12=TRUE,E86,IF(Data!$B$13=TRUE,E122,IF(Data!$B$14=TRUE,E194,IF(Data!$B$15=TRUE,E158,E230))))))</f>
        <v>Year not supported</v>
      </c>
      <c r="F266" s="141" t="str">
        <f>IF(Data!$B$10=TRUE,F14,IF(Data!$B$11=TRUE,F50,IF(Data!$B$12=TRUE,F86,IF(Data!$B$13=TRUE,F122,IF(Data!$B$14=TRUE,F194,IF(Data!$B$15=TRUE,F158,F230))))))</f>
        <v>No guidance available</v>
      </c>
      <c r="G266" s="141" t="str">
        <f>IF(Data!$B$10=TRUE,G14,IF(Data!$B$11=TRUE,G50,IF(Data!$B$12=TRUE,G86,IF(Data!$B$13=TRUE,G122,IF(Data!$B$14=TRUE,G194,IF(Data!$B$15=TRUE,G158,G230))))))</f>
        <v>No guidance available</v>
      </c>
      <c r="H266" s="141" t="str">
        <f>IF(Data!$B$10=TRUE,H14,IF(Data!$B$11=TRUE,H50,IF(Data!$B$12=TRUE,H86,IF(Data!$B$13=TRUE,H122,IF(Data!$B$14=TRUE,H194,IF(Data!$B$15=TRUE,H158,H230))))))</f>
        <v>No guidance available</v>
      </c>
      <c r="I266" s="141" t="str">
        <f>IF(Data!$B$10=TRUE,I14,IF(Data!$B$11=TRUE,I50,IF(Data!$B$12=TRUE,I86,IF(Data!$B$13=TRUE,I122,IF(Data!$B$14=TRUE,I194,IF(Data!$B$15=TRUE,I158,I230))))))</f>
        <v>No guidance available</v>
      </c>
      <c r="J266" s="141" t="str">
        <f>IF(Data!$B$10=TRUE,J14,IF(Data!$B$11=TRUE,J50,IF(Data!$B$12=TRUE,J86,IF(Data!$B$13=TRUE,J122,IF(Data!$B$14=TRUE,J194,IF(Data!$B$15=TRUE,J158,J230))))))</f>
        <v>No guidance available</v>
      </c>
      <c r="K266" s="141" t="str">
        <f>IF(Data!$B$10=TRUE,K14,IF(Data!$B$11=TRUE,K50,IF(Data!$B$12=TRUE,K86,IF(Data!$B$13=TRUE,K122,IF(Data!$B$14=TRUE,K194,IF(Data!$B$15=TRUE,K158,K230))))))</f>
        <v>No guidance available</v>
      </c>
      <c r="L266" s="141" t="str">
        <f>IF(Data!$B$10=TRUE,L14,IF(Data!$B$11=TRUE,L50,IF(Data!$B$12=TRUE,L86,IF(Data!$B$13=TRUE,L122,IF(Data!$B$14=TRUE,L194,IF(Data!$B$15=TRUE,L158,L230))))))</f>
        <v>No guidance available</v>
      </c>
      <c r="M266" s="141" t="str">
        <f>IF(Data!$B$10=TRUE,M14,IF(Data!$B$11=TRUE,M50,IF(Data!$B$12=TRUE,M86,IF(Data!$B$13=TRUE,M122,IF(Data!$B$14=TRUE,M194,IF(Data!$B$15=TRUE,M158,M230))))))</f>
        <v>No guidance available</v>
      </c>
      <c r="N266" s="141" t="str">
        <f>IF(Data!$B$10=TRUE,N14,IF(Data!$B$11=TRUE,N50,IF(Data!$B$12=TRUE,N86,IF(Data!$B$13=TRUE,N122,IF(Data!$B$14=TRUE,N194,IF(Data!$B$15=TRUE,N158,N230))))))</f>
        <v>No guidance available</v>
      </c>
      <c r="O266" s="141" t="str">
        <f>IF(Data!$B$10=TRUE,O14,IF(Data!$B$11=TRUE,O50,IF(Data!$B$12=TRUE,O86,IF(Data!$B$13=TRUE,O122,IF(Data!$B$14=TRUE,O194,IF(Data!$B$15=TRUE,O158,O230))))))</f>
        <v>No guidance available</v>
      </c>
      <c r="P266" s="141" t="str">
        <f>IF(Data!$B$10=TRUE,P14,IF(Data!$B$11=TRUE,P50,IF(Data!$B$12=TRUE,P86,IF(Data!$B$13=TRUE,P122,IF(Data!$B$14=TRUE,P194,IF(Data!$B$15=TRUE,P158,P230))))))</f>
        <v>No guidance available</v>
      </c>
      <c r="Q266" s="141" t="str">
        <f>IF(Data!$B$10=TRUE,Q14,IF(Data!$B$11=TRUE,Q50,IF(Data!$B$12=TRUE,Q86,IF(Data!$B$13=TRUE,Q122,IF(Data!$B$14=TRUE,Q194,IF(Data!$B$15=TRUE,Q158,Q230))))))</f>
        <v>No guidance available</v>
      </c>
      <c r="R266" s="141" t="str">
        <f>IF(Data!$B$10=TRUE,R14,IF(Data!$B$11=TRUE,R50,IF(Data!$B$12=TRUE,R86,IF(Data!$B$13=TRUE,R122,IF(Data!$B$14=TRUE,R194,IF(Data!$B$15=TRUE,R158,R230))))))</f>
        <v>No guidance available</v>
      </c>
      <c r="S266" s="141" t="str">
        <f>IF(Data!$B$10=TRUE,S14,IF(Data!$B$11=TRUE,S50,IF(Data!$B$12=TRUE,S86,IF(Data!$B$13=TRUE,S122,IF(Data!$B$14=TRUE,S194,IF(Data!$B$15=TRUE,S158,S230))))))</f>
        <v>No guidance available</v>
      </c>
      <c r="T266" s="141" t="str">
        <f>IF(Data!$B$10=TRUE,T14,IF(Data!$B$11=TRUE,T50,IF(Data!$B$12=TRUE,T86,IF(Data!$B$13=TRUE,T122,IF(Data!$B$14=TRUE,T194,IF(Data!$B$15=TRUE,T158,T230))))))</f>
        <v>No guidance available</v>
      </c>
      <c r="U266" s="141" t="str">
        <f>IF(Data!$B$10=TRUE,U14,IF(Data!$B$11=TRUE,U50,IF(Data!$B$12=TRUE,U86,IF(Data!$B$13=TRUE,U122,IF(Data!$B$14=TRUE,U194,IF(Data!$B$15=TRUE,U158,U230))))))</f>
        <v>No guidance available</v>
      </c>
    </row>
    <row r="267" spans="1:21" x14ac:dyDescent="0.2">
      <c r="A267" s="1">
        <f t="shared" si="21"/>
        <v>11</v>
      </c>
      <c r="B267" s="40" t="s">
        <v>1204</v>
      </c>
      <c r="C267" s="154" t="str">
        <f>IF(Data!B$10=TRUE,C15,IF(Data!B$11=TRUE,C51,IF(Data!B$12=TRUE,C87,IF(Data!B$13=TRUE,C123,IF(Data!B$14=TRUE,C195,IF(Data!B$15=TRUE,C159,C231))))))</f>
        <v>No guidance available</v>
      </c>
      <c r="D267" s="46">
        <f t="shared" si="20"/>
        <v>10</v>
      </c>
      <c r="E267" s="141" t="str">
        <f>IF(Data!$B$10=TRUE,E15,IF(Data!$B$11=TRUE,E51,IF(Data!$B$12=TRUE,E87,IF(Data!$B$13=TRUE,E123,IF(Data!$B$14=TRUE,E195,IF(Data!$B$15=TRUE,E159,E231))))))</f>
        <v>Year not supported</v>
      </c>
      <c r="F267" s="141" t="str">
        <f>IF(Data!$B$10=TRUE,F15,IF(Data!$B$11=TRUE,F51,IF(Data!$B$12=TRUE,F87,IF(Data!$B$13=TRUE,F123,IF(Data!$B$14=TRUE,F195,IF(Data!$B$15=TRUE,F159,F231))))))</f>
        <v>No guidance available</v>
      </c>
      <c r="G267" s="141" t="str">
        <f>IF(Data!$B$10=TRUE,G15,IF(Data!$B$11=TRUE,G51,IF(Data!$B$12=TRUE,G87,IF(Data!$B$13=TRUE,G123,IF(Data!$B$14=TRUE,G195,IF(Data!$B$15=TRUE,G159,G231))))))</f>
        <v>No guidance available</v>
      </c>
      <c r="H267" s="141" t="str">
        <f>IF(Data!$B$10=TRUE,H15,IF(Data!$B$11=TRUE,H51,IF(Data!$B$12=TRUE,H87,IF(Data!$B$13=TRUE,H123,IF(Data!$B$14=TRUE,H195,IF(Data!$B$15=TRUE,H159,H231))))))</f>
        <v>No guidance available</v>
      </c>
      <c r="I267" s="141" t="str">
        <f>IF(Data!$B$10=TRUE,I15,IF(Data!$B$11=TRUE,I51,IF(Data!$B$12=TRUE,I87,IF(Data!$B$13=TRUE,I123,IF(Data!$B$14=TRUE,I195,IF(Data!$B$15=TRUE,I159,I231))))))</f>
        <v>No guidance available</v>
      </c>
      <c r="J267" s="141" t="str">
        <f>IF(Data!$B$10=TRUE,J15,IF(Data!$B$11=TRUE,J51,IF(Data!$B$12=TRUE,J87,IF(Data!$B$13=TRUE,J123,IF(Data!$B$14=TRUE,J195,IF(Data!$B$15=TRUE,J159,J231))))))</f>
        <v>No guidance available</v>
      </c>
      <c r="K267" s="141" t="str">
        <f>IF(Data!$B$10=TRUE,K15,IF(Data!$B$11=TRUE,K51,IF(Data!$B$12=TRUE,K87,IF(Data!$B$13=TRUE,K123,IF(Data!$B$14=TRUE,K195,IF(Data!$B$15=TRUE,K159,K231))))))</f>
        <v>No guidance available</v>
      </c>
      <c r="L267" s="141" t="str">
        <f>IF(Data!$B$10=TRUE,L15,IF(Data!$B$11=TRUE,L51,IF(Data!$B$12=TRUE,L87,IF(Data!$B$13=TRUE,L123,IF(Data!$B$14=TRUE,L195,IF(Data!$B$15=TRUE,L159,L231))))))</f>
        <v>No guidance available</v>
      </c>
      <c r="M267" s="141" t="str">
        <f>IF(Data!$B$10=TRUE,M15,IF(Data!$B$11=TRUE,M51,IF(Data!$B$12=TRUE,M87,IF(Data!$B$13=TRUE,M123,IF(Data!$B$14=TRUE,M195,IF(Data!$B$15=TRUE,M159,M231))))))</f>
        <v>No guidance available</v>
      </c>
      <c r="N267" s="141" t="str">
        <f>IF(Data!$B$10=TRUE,N15,IF(Data!$B$11=TRUE,N51,IF(Data!$B$12=TRUE,N87,IF(Data!$B$13=TRUE,N123,IF(Data!$B$14=TRUE,N195,IF(Data!$B$15=TRUE,N159,N231))))))</f>
        <v>No guidance available</v>
      </c>
      <c r="O267" s="141" t="str">
        <f>IF(Data!$B$10=TRUE,O15,IF(Data!$B$11=TRUE,O51,IF(Data!$B$12=TRUE,O87,IF(Data!$B$13=TRUE,O123,IF(Data!$B$14=TRUE,O195,IF(Data!$B$15=TRUE,O159,O231))))))</f>
        <v>No guidance available</v>
      </c>
      <c r="P267" s="141" t="str">
        <f>IF(Data!$B$10=TRUE,P15,IF(Data!$B$11=TRUE,P51,IF(Data!$B$12=TRUE,P87,IF(Data!$B$13=TRUE,P123,IF(Data!$B$14=TRUE,P195,IF(Data!$B$15=TRUE,P159,P231))))))</f>
        <v>No guidance available</v>
      </c>
      <c r="Q267" s="141" t="str">
        <f>IF(Data!$B$10=TRUE,Q15,IF(Data!$B$11=TRUE,Q51,IF(Data!$B$12=TRUE,Q87,IF(Data!$B$13=TRUE,Q123,IF(Data!$B$14=TRUE,Q195,IF(Data!$B$15=TRUE,Q159,Q231))))))</f>
        <v>No guidance available</v>
      </c>
      <c r="R267" s="141" t="str">
        <f>IF(Data!$B$10=TRUE,R15,IF(Data!$B$11=TRUE,R51,IF(Data!$B$12=TRUE,R87,IF(Data!$B$13=TRUE,R123,IF(Data!$B$14=TRUE,R195,IF(Data!$B$15=TRUE,R159,R231))))))</f>
        <v>No guidance available</v>
      </c>
      <c r="S267" s="141" t="str">
        <f>IF(Data!$B$10=TRUE,S15,IF(Data!$B$11=TRUE,S51,IF(Data!$B$12=TRUE,S87,IF(Data!$B$13=TRUE,S123,IF(Data!$B$14=TRUE,S195,IF(Data!$B$15=TRUE,S159,S231))))))</f>
        <v>No guidance available</v>
      </c>
      <c r="T267" s="141" t="str">
        <f>IF(Data!$B$10=TRUE,T15,IF(Data!$B$11=TRUE,T51,IF(Data!$B$12=TRUE,T87,IF(Data!$B$13=TRUE,T123,IF(Data!$B$14=TRUE,T195,IF(Data!$B$15=TRUE,T159,T231))))))</f>
        <v>No guidance available</v>
      </c>
      <c r="U267" s="141" t="str">
        <f>IF(Data!$B$10=TRUE,U15,IF(Data!$B$11=TRUE,U51,IF(Data!$B$12=TRUE,U87,IF(Data!$B$13=TRUE,U123,IF(Data!$B$14=TRUE,U195,IF(Data!$B$15=TRUE,U159,U231))))))</f>
        <v>No guidance available</v>
      </c>
    </row>
    <row r="268" spans="1:21" x14ac:dyDescent="0.2">
      <c r="A268" s="1">
        <f t="shared" si="21"/>
        <v>12</v>
      </c>
      <c r="B268" s="40" t="s">
        <v>1322</v>
      </c>
      <c r="C268" s="154" t="str">
        <f>IF(Data!B$10=TRUE,C16,IF(Data!B$11=TRUE,C52,IF(Data!B$12=TRUE,C88,IF(Data!B$13=TRUE,C124,IF(Data!B$14=TRUE,C196,IF(Data!B$15=TRUE,C160,C232))))))</f>
        <v>No guidance available</v>
      </c>
      <c r="D268" s="46">
        <f t="shared" si="20"/>
        <v>11</v>
      </c>
      <c r="E268" s="141" t="str">
        <f>IF(Data!$B$10=TRUE,E16,IF(Data!$B$11=TRUE,E52,IF(Data!$B$12=TRUE,E88,IF(Data!$B$13=TRUE,E124,IF(Data!$B$14=TRUE,E196,IF(Data!$B$15=TRUE,E160,E232))))))</f>
        <v>Year not supported</v>
      </c>
      <c r="F268" s="141" t="str">
        <f>IF(Data!$B$10=TRUE,F16,IF(Data!$B$11=TRUE,F52,IF(Data!$B$12=TRUE,F88,IF(Data!$B$13=TRUE,F124,IF(Data!$B$14=TRUE,F196,IF(Data!$B$15=TRUE,F160,F232))))))</f>
        <v>No guidance available</v>
      </c>
      <c r="G268" s="141" t="str">
        <f>IF(Data!$B$10=TRUE,G16,IF(Data!$B$11=TRUE,G52,IF(Data!$B$12=TRUE,G88,IF(Data!$B$13=TRUE,G124,IF(Data!$B$14=TRUE,G196,IF(Data!$B$15=TRUE,G160,G232))))))</f>
        <v>No guidance available</v>
      </c>
      <c r="H268" s="141" t="str">
        <f>IF(Data!$B$10=TRUE,H16,IF(Data!$B$11=TRUE,H52,IF(Data!$B$12=TRUE,H88,IF(Data!$B$13=TRUE,H124,IF(Data!$B$14=TRUE,H196,IF(Data!$B$15=TRUE,H160,H232))))))</f>
        <v>No guidance available</v>
      </c>
      <c r="I268" s="141" t="str">
        <f>IF(Data!$B$10=TRUE,I16,IF(Data!$B$11=TRUE,I52,IF(Data!$B$12=TRUE,I88,IF(Data!$B$13=TRUE,I124,IF(Data!$B$14=TRUE,I196,IF(Data!$B$15=TRUE,I160,I232))))))</f>
        <v>No guidance available</v>
      </c>
      <c r="J268" s="141" t="str">
        <f>IF(Data!$B$10=TRUE,J16,IF(Data!$B$11=TRUE,J52,IF(Data!$B$12=TRUE,J88,IF(Data!$B$13=TRUE,J124,IF(Data!$B$14=TRUE,J196,IF(Data!$B$15=TRUE,J160,J232))))))</f>
        <v>No guidance available</v>
      </c>
      <c r="K268" s="141" t="str">
        <f>IF(Data!$B$10=TRUE,K16,IF(Data!$B$11=TRUE,K52,IF(Data!$B$12=TRUE,K88,IF(Data!$B$13=TRUE,K124,IF(Data!$B$14=TRUE,K196,IF(Data!$B$15=TRUE,K160,K232))))))</f>
        <v>No guidance available</v>
      </c>
      <c r="L268" s="141" t="str">
        <f>IF(Data!$B$10=TRUE,L16,IF(Data!$B$11=TRUE,L52,IF(Data!$B$12=TRUE,L88,IF(Data!$B$13=TRUE,L124,IF(Data!$B$14=TRUE,L196,IF(Data!$B$15=TRUE,L160,L232))))))</f>
        <v>No guidance available</v>
      </c>
      <c r="M268" s="141" t="str">
        <f>IF(Data!$B$10=TRUE,M16,IF(Data!$B$11=TRUE,M52,IF(Data!$B$12=TRUE,M88,IF(Data!$B$13=TRUE,M124,IF(Data!$B$14=TRUE,M196,IF(Data!$B$15=TRUE,M160,M232))))))</f>
        <v>No guidance available</v>
      </c>
      <c r="N268" s="141" t="str">
        <f>IF(Data!$B$10=TRUE,N16,IF(Data!$B$11=TRUE,N52,IF(Data!$B$12=TRUE,N88,IF(Data!$B$13=TRUE,N124,IF(Data!$B$14=TRUE,N196,IF(Data!$B$15=TRUE,N160,N232))))))</f>
        <v>No guidance available</v>
      </c>
      <c r="O268" s="141" t="str">
        <f>IF(Data!$B$10=TRUE,O16,IF(Data!$B$11=TRUE,O52,IF(Data!$B$12=TRUE,O88,IF(Data!$B$13=TRUE,O124,IF(Data!$B$14=TRUE,O196,IF(Data!$B$15=TRUE,O160,O232))))))</f>
        <v>No guidance available</v>
      </c>
      <c r="P268" s="141" t="str">
        <f>IF(Data!$B$10=TRUE,P16,IF(Data!$B$11=TRUE,P52,IF(Data!$B$12=TRUE,P88,IF(Data!$B$13=TRUE,P124,IF(Data!$B$14=TRUE,P196,IF(Data!$B$15=TRUE,P160,P232))))))</f>
        <v>No guidance available</v>
      </c>
      <c r="Q268" s="141" t="str">
        <f>IF(Data!$B$10=TRUE,Q16,IF(Data!$B$11=TRUE,Q52,IF(Data!$B$12=TRUE,Q88,IF(Data!$B$13=TRUE,Q124,IF(Data!$B$14=TRUE,Q196,IF(Data!$B$15=TRUE,Q160,Q232))))))</f>
        <v>No guidance available</v>
      </c>
      <c r="R268" s="141" t="str">
        <f>IF(Data!$B$10=TRUE,R16,IF(Data!$B$11=TRUE,R52,IF(Data!$B$12=TRUE,R88,IF(Data!$B$13=TRUE,R124,IF(Data!$B$14=TRUE,R196,IF(Data!$B$15=TRUE,R160,R232))))))</f>
        <v>No guidance available</v>
      </c>
      <c r="S268" s="141" t="str">
        <f>IF(Data!$B$10=TRUE,S16,IF(Data!$B$11=TRUE,S52,IF(Data!$B$12=TRUE,S88,IF(Data!$B$13=TRUE,S124,IF(Data!$B$14=TRUE,S196,IF(Data!$B$15=TRUE,S160,S232))))))</f>
        <v>No guidance available</v>
      </c>
      <c r="T268" s="141" t="str">
        <f>IF(Data!$B$10=TRUE,T16,IF(Data!$B$11=TRUE,T52,IF(Data!$B$12=TRUE,T88,IF(Data!$B$13=TRUE,T124,IF(Data!$B$14=TRUE,T196,IF(Data!$B$15=TRUE,T160,T232))))))</f>
        <v>No guidance available</v>
      </c>
      <c r="U268" s="141" t="str">
        <f>IF(Data!$B$10=TRUE,U16,IF(Data!$B$11=TRUE,U52,IF(Data!$B$12=TRUE,U88,IF(Data!$B$13=TRUE,U124,IF(Data!$B$14=TRUE,U196,IF(Data!$B$15=TRUE,U160,U232))))))</f>
        <v>No guidance available</v>
      </c>
    </row>
    <row r="269" spans="1:21" x14ac:dyDescent="0.2">
      <c r="A269" s="1">
        <f t="shared" si="21"/>
        <v>13</v>
      </c>
      <c r="B269" s="40" t="s">
        <v>1325</v>
      </c>
      <c r="C269" s="154" t="str">
        <f>IF(Data!B$10=TRUE,C17,IF(Data!B$11=TRUE,C53,IF(Data!B$12=TRUE,C89,IF(Data!B$13=TRUE,C125,IF(Data!B$14=TRUE,C197,IF(Data!B$15=TRUE,C161,C233))))))</f>
        <v>No guidance available</v>
      </c>
      <c r="D269" s="46">
        <f t="shared" si="20"/>
        <v>12</v>
      </c>
      <c r="E269" s="141" t="str">
        <f>IF(Data!$B$10=TRUE,E17,IF(Data!$B$11=TRUE,E53,IF(Data!$B$12=TRUE,E89,IF(Data!$B$13=TRUE,E125,IF(Data!$B$14=TRUE,E197,IF(Data!$B$15=TRUE,E161,E233))))))</f>
        <v>Year not supported</v>
      </c>
      <c r="F269" s="141" t="str">
        <f>IF(Data!$B$10=TRUE,F17,IF(Data!$B$11=TRUE,F53,IF(Data!$B$12=TRUE,F89,IF(Data!$B$13=TRUE,F125,IF(Data!$B$14=TRUE,F197,IF(Data!$B$15=TRUE,F161,F233))))))</f>
        <v>No guidance available</v>
      </c>
      <c r="G269" s="141" t="str">
        <f>IF(Data!$B$10=TRUE,G17,IF(Data!$B$11=TRUE,G53,IF(Data!$B$12=TRUE,G89,IF(Data!$B$13=TRUE,G125,IF(Data!$B$14=TRUE,G197,IF(Data!$B$15=TRUE,G161,G233))))))</f>
        <v>No guidance available</v>
      </c>
      <c r="H269" s="141" t="str">
        <f>IF(Data!$B$10=TRUE,H17,IF(Data!$B$11=TRUE,H53,IF(Data!$B$12=TRUE,H89,IF(Data!$B$13=TRUE,H125,IF(Data!$B$14=TRUE,H197,IF(Data!$B$15=TRUE,H161,H233))))))</f>
        <v>No guidance available</v>
      </c>
      <c r="I269" s="141" t="str">
        <f>IF(Data!$B$10=TRUE,I17,IF(Data!$B$11=TRUE,I53,IF(Data!$B$12=TRUE,I89,IF(Data!$B$13=TRUE,I125,IF(Data!$B$14=TRUE,I197,IF(Data!$B$15=TRUE,I161,I233))))))</f>
        <v>No guidance available</v>
      </c>
      <c r="J269" s="141" t="str">
        <f>IF(Data!$B$10=TRUE,J17,IF(Data!$B$11=TRUE,J53,IF(Data!$B$12=TRUE,J89,IF(Data!$B$13=TRUE,J125,IF(Data!$B$14=TRUE,J197,IF(Data!$B$15=TRUE,J161,J233))))))</f>
        <v>No guidance available</v>
      </c>
      <c r="K269" s="141" t="str">
        <f>IF(Data!$B$10=TRUE,K17,IF(Data!$B$11=TRUE,K53,IF(Data!$B$12=TRUE,K89,IF(Data!$B$13=TRUE,K125,IF(Data!$B$14=TRUE,K197,IF(Data!$B$15=TRUE,K161,K233))))))</f>
        <v>No guidance available</v>
      </c>
      <c r="L269" s="141" t="str">
        <f>IF(Data!$B$10=TRUE,L17,IF(Data!$B$11=TRUE,L53,IF(Data!$B$12=TRUE,L89,IF(Data!$B$13=TRUE,L125,IF(Data!$B$14=TRUE,L197,IF(Data!$B$15=TRUE,L161,L233))))))</f>
        <v>No guidance available</v>
      </c>
      <c r="M269" s="141" t="str">
        <f>IF(Data!$B$10=TRUE,M17,IF(Data!$B$11=TRUE,M53,IF(Data!$B$12=TRUE,M89,IF(Data!$B$13=TRUE,M125,IF(Data!$B$14=TRUE,M197,IF(Data!$B$15=TRUE,M161,M233))))))</f>
        <v>No guidance available</v>
      </c>
      <c r="N269" s="141" t="str">
        <f>IF(Data!$B$10=TRUE,N17,IF(Data!$B$11=TRUE,N53,IF(Data!$B$12=TRUE,N89,IF(Data!$B$13=TRUE,N125,IF(Data!$B$14=TRUE,N197,IF(Data!$B$15=TRUE,N161,N233))))))</f>
        <v>No guidance available</v>
      </c>
      <c r="O269" s="141" t="str">
        <f>IF(Data!$B$10=TRUE,O17,IF(Data!$B$11=TRUE,O53,IF(Data!$B$12=TRUE,O89,IF(Data!$B$13=TRUE,O125,IF(Data!$B$14=TRUE,O197,IF(Data!$B$15=TRUE,O161,O233))))))</f>
        <v>No guidance available</v>
      </c>
      <c r="P269" s="141" t="str">
        <f>IF(Data!$B$10=TRUE,P17,IF(Data!$B$11=TRUE,P53,IF(Data!$B$12=TRUE,P89,IF(Data!$B$13=TRUE,P125,IF(Data!$B$14=TRUE,P197,IF(Data!$B$15=TRUE,P161,P233))))))</f>
        <v>No guidance available</v>
      </c>
      <c r="Q269" s="141" t="str">
        <f>IF(Data!$B$10=TRUE,Q17,IF(Data!$B$11=TRUE,Q53,IF(Data!$B$12=TRUE,Q89,IF(Data!$B$13=TRUE,Q125,IF(Data!$B$14=TRUE,Q197,IF(Data!$B$15=TRUE,Q161,Q233))))))</f>
        <v>No guidance available</v>
      </c>
      <c r="R269" s="141" t="str">
        <f>IF(Data!$B$10=TRUE,R17,IF(Data!$B$11=TRUE,R53,IF(Data!$B$12=TRUE,R89,IF(Data!$B$13=TRUE,R125,IF(Data!$B$14=TRUE,R197,IF(Data!$B$15=TRUE,R161,R233))))))</f>
        <v>No guidance available</v>
      </c>
      <c r="S269" s="141" t="str">
        <f>IF(Data!$B$10=TRUE,S17,IF(Data!$B$11=TRUE,S53,IF(Data!$B$12=TRUE,S89,IF(Data!$B$13=TRUE,S125,IF(Data!$B$14=TRUE,S197,IF(Data!$B$15=TRUE,S161,S233))))))</f>
        <v>No guidance available</v>
      </c>
      <c r="T269" s="141" t="str">
        <f>IF(Data!$B$10=TRUE,T17,IF(Data!$B$11=TRUE,T53,IF(Data!$B$12=TRUE,T89,IF(Data!$B$13=TRUE,T125,IF(Data!$B$14=TRUE,T197,IF(Data!$B$15=TRUE,T161,T233))))))</f>
        <v>No guidance available</v>
      </c>
      <c r="U269" s="141" t="str">
        <f>IF(Data!$B$10=TRUE,U17,IF(Data!$B$11=TRUE,U53,IF(Data!$B$12=TRUE,U89,IF(Data!$B$13=TRUE,U125,IF(Data!$B$14=TRUE,U197,IF(Data!$B$15=TRUE,U161,U233))))))</f>
        <v>No guidance available</v>
      </c>
    </row>
    <row r="270" spans="1:21" ht="24.95" customHeight="1" x14ac:dyDescent="0.2">
      <c r="A270" s="1">
        <f t="shared" si="21"/>
        <v>14</v>
      </c>
      <c r="B270" s="40" t="s">
        <v>1266</v>
      </c>
      <c r="C270" s="235" t="str">
        <f>IF(Data!B$10=TRUE,C18,IF(Data!B$11=TRUE,C54,IF(Data!B$12=TRUE,C90,IF(Data!B$13=TRUE,C126,IF(Data!B$14=TRUE,C198,IF(Data!B$15=TRUE,C162,C234))))))</f>
        <v>No guidance available</v>
      </c>
      <c r="D270" s="46">
        <f t="shared" si="20"/>
        <v>13</v>
      </c>
      <c r="E270" s="234" t="str">
        <f>IF(Data!$B$10=TRUE,E18,IF(Data!$B$11=TRUE,E54,IF(Data!$B$12=TRUE,E90,IF(Data!$B$13=TRUE,E126,IF(Data!$B$14=TRUE,E198,IF(Data!$B$15=TRUE,E162,E234))))))</f>
        <v>Year not supported</v>
      </c>
      <c r="F270" s="234" t="str">
        <f>IF(Data!$B$10=TRUE,F18,IF(Data!$B$11=TRUE,F54,IF(Data!$B$12=TRUE,F90,IF(Data!$B$13=TRUE,F126,IF(Data!$B$14=TRUE,F198,IF(Data!$B$15=TRUE,F162,F234))))))</f>
        <v>No guidance available</v>
      </c>
      <c r="G270" s="234" t="str">
        <f>IF(Data!$B$10=TRUE,G18,IF(Data!$B$11=TRUE,G54,IF(Data!$B$12=TRUE,G90,IF(Data!$B$13=TRUE,G126,IF(Data!$B$14=TRUE,G198,IF(Data!$B$15=TRUE,G162,G234))))))</f>
        <v>No guidance available</v>
      </c>
      <c r="H270" s="234" t="str">
        <f>IF(Data!$B$10=TRUE,H18,IF(Data!$B$11=TRUE,H54,IF(Data!$B$12=TRUE,H90,IF(Data!$B$13=TRUE,H126,IF(Data!$B$14=TRUE,H198,IF(Data!$B$15=TRUE,H162,H234))))))</f>
        <v>No guidance available</v>
      </c>
      <c r="I270" s="234" t="str">
        <f>IF(Data!$B$10=TRUE,I18,IF(Data!$B$11=TRUE,I54,IF(Data!$B$12=TRUE,I90,IF(Data!$B$13=TRUE,I126,IF(Data!$B$14=TRUE,I198,IF(Data!$B$15=TRUE,I162,I234))))))</f>
        <v>No guidance available</v>
      </c>
      <c r="J270" s="141" t="str">
        <f>IF(Data!$B$10=TRUE,J18,IF(Data!$B$11=TRUE,J54,IF(Data!$B$12=TRUE,J90,IF(Data!$B$13=TRUE,J126,IF(Data!$B$14=TRUE,J198,IF(Data!$B$15=TRUE,J162,J234))))))</f>
        <v>No guidance available</v>
      </c>
      <c r="K270" s="141" t="str">
        <f>IF(Data!$B$10=TRUE,K18,IF(Data!$B$11=TRUE,K54,IF(Data!$B$12=TRUE,K90,IF(Data!$B$13=TRUE,K126,IF(Data!$B$14=TRUE,K198,IF(Data!$B$15=TRUE,K162,K234))))))</f>
        <v>No guidance available</v>
      </c>
      <c r="L270" s="141" t="str">
        <f>IF(Data!$B$10=TRUE,L18,IF(Data!$B$11=TRUE,L54,IF(Data!$B$12=TRUE,L90,IF(Data!$B$13=TRUE,L126,IF(Data!$B$14=TRUE,L198,IF(Data!$B$15=TRUE,L162,L234))))))</f>
        <v>No guidance available</v>
      </c>
      <c r="M270" s="141" t="str">
        <f>IF(Data!$B$10=TRUE,M18,IF(Data!$B$11=TRUE,M54,IF(Data!$B$12=TRUE,M90,IF(Data!$B$13=TRUE,M126,IF(Data!$B$14=TRUE,M198,IF(Data!$B$15=TRUE,M162,M234))))))</f>
        <v>No guidance available</v>
      </c>
      <c r="N270" s="141" t="str">
        <f>IF(Data!$B$10=TRUE,N18,IF(Data!$B$11=TRUE,N54,IF(Data!$B$12=TRUE,N90,IF(Data!$B$13=TRUE,N126,IF(Data!$B$14=TRUE,N198,IF(Data!$B$15=TRUE,N162,N234))))))</f>
        <v>No guidance available</v>
      </c>
      <c r="O270" s="141" t="str">
        <f>IF(Data!$B$10=TRUE,O18,IF(Data!$B$11=TRUE,O54,IF(Data!$B$12=TRUE,O90,IF(Data!$B$13=TRUE,O126,IF(Data!$B$14=TRUE,O198,IF(Data!$B$15=TRUE,O162,O234))))))</f>
        <v>No guidance available</v>
      </c>
      <c r="P270" s="141" t="str">
        <f>IF(Data!$B$10=TRUE,P18,IF(Data!$B$11=TRUE,P54,IF(Data!$B$12=TRUE,P90,IF(Data!$B$13=TRUE,P126,IF(Data!$B$14=TRUE,P198,IF(Data!$B$15=TRUE,P162,P234))))))</f>
        <v>No guidance available</v>
      </c>
      <c r="Q270" s="141" t="str">
        <f>IF(Data!$B$10=TRUE,Q18,IF(Data!$B$11=TRUE,Q54,IF(Data!$B$12=TRUE,Q90,IF(Data!$B$13=TRUE,Q126,IF(Data!$B$14=TRUE,Q198,IF(Data!$B$15=TRUE,Q162,Q234))))))</f>
        <v>No guidance available</v>
      </c>
      <c r="R270" s="141" t="str">
        <f>IF(Data!$B$10=TRUE,R18,IF(Data!$B$11=TRUE,R54,IF(Data!$B$12=TRUE,R90,IF(Data!$B$13=TRUE,R126,IF(Data!$B$14=TRUE,R198,IF(Data!$B$15=TRUE,R162,R234))))))</f>
        <v>No guidance available</v>
      </c>
      <c r="S270" s="141" t="str">
        <f>IF(Data!$B$10=TRUE,S18,IF(Data!$B$11=TRUE,S54,IF(Data!$B$12=TRUE,S90,IF(Data!$B$13=TRUE,S126,IF(Data!$B$14=TRUE,S198,IF(Data!$B$15=TRUE,S162,S234))))))</f>
        <v>No guidance available</v>
      </c>
      <c r="T270" s="141" t="str">
        <f>IF(Data!$B$10=TRUE,T18,IF(Data!$B$11=TRUE,T54,IF(Data!$B$12=TRUE,T90,IF(Data!$B$13=TRUE,T126,IF(Data!$B$14=TRUE,T198,IF(Data!$B$15=TRUE,T162,T234))))))</f>
        <v>No guidance available</v>
      </c>
      <c r="U270" s="141" t="str">
        <f>IF(Data!$B$10=TRUE,U18,IF(Data!$B$11=TRUE,U54,IF(Data!$B$12=TRUE,U90,IF(Data!$B$13=TRUE,U126,IF(Data!$B$14=TRUE,U198,IF(Data!$B$15=TRUE,U162,U234))))))</f>
        <v>No guidance available</v>
      </c>
    </row>
    <row r="271" spans="1:21" x14ac:dyDescent="0.2">
      <c r="A271" s="1">
        <f t="shared" si="21"/>
        <v>15</v>
      </c>
      <c r="B271" s="45" t="s">
        <v>110</v>
      </c>
      <c r="C271" s="154" t="str">
        <f>IF(Data!B$10=TRUE,C19,IF(Data!B$11=TRUE,C55,IF(Data!B$12=TRUE,C91,IF(Data!B$13=TRUE,C127,IF(Data!B$14=TRUE,C199,IF(Data!B$15=TRUE,C163,C235))))))</f>
        <v>No guidance available</v>
      </c>
      <c r="D271" s="46">
        <f t="shared" si="20"/>
        <v>14</v>
      </c>
      <c r="E271" s="141" t="str">
        <f>IF(Data!$B$10=TRUE,E19,IF(Data!$B$11=TRUE,E55,IF(Data!$B$12=TRUE,E91,IF(Data!$B$13=TRUE,E127,IF(Data!$B$14=TRUE,E199,IF(Data!$B$15=TRUE,E163,E235))))))</f>
        <v>Year not supported</v>
      </c>
      <c r="F271" s="141" t="str">
        <f>IF(Data!$B$10=TRUE,F19,IF(Data!$B$11=TRUE,F55,IF(Data!$B$12=TRUE,F91,IF(Data!$B$13=TRUE,F127,IF(Data!$B$14=TRUE,F199,IF(Data!$B$15=TRUE,F163,F235))))))</f>
        <v>No guidance available</v>
      </c>
      <c r="G271" s="141" t="str">
        <f>IF(Data!$B$10=TRUE,G19,IF(Data!$B$11=TRUE,G55,IF(Data!$B$12=TRUE,G91,IF(Data!$B$13=TRUE,G127,IF(Data!$B$14=TRUE,G199,IF(Data!$B$15=TRUE,G163,G235))))))</f>
        <v>No guidance available</v>
      </c>
      <c r="H271" s="141" t="str">
        <f>IF(Data!$B$10=TRUE,H19,IF(Data!$B$11=TRUE,H55,IF(Data!$B$12=TRUE,H91,IF(Data!$B$13=TRUE,H127,IF(Data!$B$14=TRUE,H199,IF(Data!$B$15=TRUE,H163,H235))))))</f>
        <v>No guidance available</v>
      </c>
      <c r="I271" s="141" t="str">
        <f>IF(Data!$B$10=TRUE,I19,IF(Data!$B$11=TRUE,I55,IF(Data!$B$12=TRUE,I91,IF(Data!$B$13=TRUE,I127,IF(Data!$B$14=TRUE,I199,IF(Data!$B$15=TRUE,I163,I235))))))</f>
        <v>No guidance available</v>
      </c>
      <c r="J271" s="141" t="str">
        <f>IF(Data!$B$10=TRUE,J19,IF(Data!$B$11=TRUE,J55,IF(Data!$B$12=TRUE,J91,IF(Data!$B$13=TRUE,J127,IF(Data!$B$14=TRUE,J199,IF(Data!$B$15=TRUE,J163,J235))))))</f>
        <v>No guidance available</v>
      </c>
      <c r="K271" s="141" t="str">
        <f>IF(Data!$B$10=TRUE,K19,IF(Data!$B$11=TRUE,K55,IF(Data!$B$12=TRUE,K91,IF(Data!$B$13=TRUE,K127,IF(Data!$B$14=TRUE,K199,IF(Data!$B$15=TRUE,K163,K235))))))</f>
        <v>No guidance available</v>
      </c>
      <c r="L271" s="141" t="str">
        <f>IF(Data!$B$10=TRUE,L19,IF(Data!$B$11=TRUE,L55,IF(Data!$B$12=TRUE,L91,IF(Data!$B$13=TRUE,L127,IF(Data!$B$14=TRUE,L199,IF(Data!$B$15=TRUE,L163,L235))))))</f>
        <v>No guidance available</v>
      </c>
      <c r="M271" s="141" t="str">
        <f>IF(Data!$B$10=TRUE,M19,IF(Data!$B$11=TRUE,M55,IF(Data!$B$12=TRUE,M91,IF(Data!$B$13=TRUE,M127,IF(Data!$B$14=TRUE,M199,IF(Data!$B$15=TRUE,M163,M235))))))</f>
        <v>No guidance available</v>
      </c>
      <c r="N271" s="141" t="str">
        <f>IF(Data!$B$10=TRUE,N19,IF(Data!$B$11=TRUE,N55,IF(Data!$B$12=TRUE,N91,IF(Data!$B$13=TRUE,N127,IF(Data!$B$14=TRUE,N199,IF(Data!$B$15=TRUE,N163,N235))))))</f>
        <v>No guidance available</v>
      </c>
      <c r="O271" s="141" t="str">
        <f>IF(Data!$B$10=TRUE,O19,IF(Data!$B$11=TRUE,O55,IF(Data!$B$12=TRUE,O91,IF(Data!$B$13=TRUE,O127,IF(Data!$B$14=TRUE,O199,IF(Data!$B$15=TRUE,O163,O235))))))</f>
        <v>No guidance available</v>
      </c>
      <c r="P271" s="141" t="str">
        <f>IF(Data!$B$10=TRUE,P19,IF(Data!$B$11=TRUE,P55,IF(Data!$B$12=TRUE,P91,IF(Data!$B$13=TRUE,P127,IF(Data!$B$14=TRUE,P199,IF(Data!$B$15=TRUE,P163,P235))))))</f>
        <v>No guidance available</v>
      </c>
      <c r="Q271" s="141" t="str">
        <f>IF(Data!$B$10=TRUE,Q19,IF(Data!$B$11=TRUE,Q55,IF(Data!$B$12=TRUE,Q91,IF(Data!$B$13=TRUE,Q127,IF(Data!$B$14=TRUE,Q199,IF(Data!$B$15=TRUE,Q163,Q235))))))</f>
        <v>No guidance available</v>
      </c>
      <c r="R271" s="141" t="str">
        <f>IF(Data!$B$10=TRUE,R19,IF(Data!$B$11=TRUE,R55,IF(Data!$B$12=TRUE,R91,IF(Data!$B$13=TRUE,R127,IF(Data!$B$14=TRUE,R199,IF(Data!$B$15=TRUE,R163,R235))))))</f>
        <v>No guidance available</v>
      </c>
      <c r="S271" s="141" t="str">
        <f>IF(Data!$B$10=TRUE,S19,IF(Data!$B$11=TRUE,S55,IF(Data!$B$12=TRUE,S91,IF(Data!$B$13=TRUE,S127,IF(Data!$B$14=TRUE,S199,IF(Data!$B$15=TRUE,S163,S235))))))</f>
        <v>No guidance available</v>
      </c>
      <c r="T271" s="141" t="str">
        <f>IF(Data!$B$10=TRUE,T19,IF(Data!$B$11=TRUE,T55,IF(Data!$B$12=TRUE,T91,IF(Data!$B$13=TRUE,T127,IF(Data!$B$14=TRUE,T199,IF(Data!$B$15=TRUE,T163,T235))))))</f>
        <v>No guidance available</v>
      </c>
      <c r="U271" s="141" t="str">
        <f>IF(Data!$B$10=TRUE,U19,IF(Data!$B$11=TRUE,U55,IF(Data!$B$12=TRUE,U91,IF(Data!$B$13=TRUE,U127,IF(Data!$B$14=TRUE,U199,IF(Data!$B$15=TRUE,U163,U235))))))</f>
        <v>No guidance available</v>
      </c>
    </row>
    <row r="272" spans="1:21" x14ac:dyDescent="0.2">
      <c r="A272" s="1">
        <f t="shared" si="21"/>
        <v>16</v>
      </c>
      <c r="B272" s="45" t="s">
        <v>111</v>
      </c>
      <c r="C272" s="154" t="str">
        <f>IF(Data!B$10=TRUE,C20,IF(Data!B$11=TRUE,C56,IF(Data!B$12=TRUE,C92,IF(Data!B$13=TRUE,C128,IF(Data!B$14=TRUE,C200,IF(Data!B$15=TRUE,C164,C236))))))</f>
        <v>No guidance available</v>
      </c>
      <c r="D272" s="46">
        <f t="shared" si="20"/>
        <v>15</v>
      </c>
      <c r="E272" s="141" t="str">
        <f>IF(Data!$B$10=TRUE,E20,IF(Data!$B$11=TRUE,E56,IF(Data!$B$12=TRUE,E92,IF(Data!$B$13=TRUE,E128,IF(Data!$B$14=TRUE,E200,IF(Data!$B$15=TRUE,E164,E236))))))</f>
        <v>Year not supported</v>
      </c>
      <c r="F272" s="141" t="str">
        <f>IF(Data!$B$10=TRUE,F20,IF(Data!$B$11=TRUE,F56,IF(Data!$B$12=TRUE,F92,IF(Data!$B$13=TRUE,F128,IF(Data!$B$14=TRUE,F200,IF(Data!$B$15=TRUE,F164,F236))))))</f>
        <v>No guidance available</v>
      </c>
      <c r="G272" s="141" t="str">
        <f>IF(Data!$B$10=TRUE,G20,IF(Data!$B$11=TRUE,G56,IF(Data!$B$12=TRUE,G92,IF(Data!$B$13=TRUE,G128,IF(Data!$B$14=TRUE,G200,IF(Data!$B$15=TRUE,G164,G236))))))</f>
        <v>No guidance available</v>
      </c>
      <c r="H272" s="141" t="str">
        <f>IF(Data!$B$10=TRUE,H20,IF(Data!$B$11=TRUE,H56,IF(Data!$B$12=TRUE,H92,IF(Data!$B$13=TRUE,H128,IF(Data!$B$14=TRUE,H200,IF(Data!$B$15=TRUE,H164,H236))))))</f>
        <v>No guidance available</v>
      </c>
      <c r="I272" s="141" t="str">
        <f>IF(Data!$B$10=TRUE,I20,IF(Data!$B$11=TRUE,I56,IF(Data!$B$12=TRUE,I92,IF(Data!$B$13=TRUE,I128,IF(Data!$B$14=TRUE,I200,IF(Data!$B$15=TRUE,I164,I236))))))</f>
        <v>No guidance available</v>
      </c>
      <c r="J272" s="141" t="str">
        <f>IF(Data!$B$10=TRUE,J20,IF(Data!$B$11=TRUE,J56,IF(Data!$B$12=TRUE,J92,IF(Data!$B$13=TRUE,J128,IF(Data!$B$14=TRUE,J200,IF(Data!$B$15=TRUE,J164,J236))))))</f>
        <v>No guidance available</v>
      </c>
      <c r="K272" s="141" t="str">
        <f>IF(Data!$B$10=TRUE,K20,IF(Data!$B$11=TRUE,K56,IF(Data!$B$12=TRUE,K92,IF(Data!$B$13=TRUE,K128,IF(Data!$B$14=TRUE,K200,IF(Data!$B$15=TRUE,K164,K236))))))</f>
        <v>No guidance available</v>
      </c>
      <c r="L272" s="141" t="str">
        <f>IF(Data!$B$10=TRUE,L20,IF(Data!$B$11=TRUE,L56,IF(Data!$B$12=TRUE,L92,IF(Data!$B$13=TRUE,L128,IF(Data!$B$14=TRUE,L200,IF(Data!$B$15=TRUE,L164,L236))))))</f>
        <v>No guidance available</v>
      </c>
      <c r="M272" s="141" t="str">
        <f>IF(Data!$B$10=TRUE,M20,IF(Data!$B$11=TRUE,M56,IF(Data!$B$12=TRUE,M92,IF(Data!$B$13=TRUE,M128,IF(Data!$B$14=TRUE,M200,IF(Data!$B$15=TRUE,M164,M236))))))</f>
        <v>No guidance available</v>
      </c>
      <c r="N272" s="141" t="str">
        <f>IF(Data!$B$10=TRUE,N20,IF(Data!$B$11=TRUE,N56,IF(Data!$B$12=TRUE,N92,IF(Data!$B$13=TRUE,N128,IF(Data!$B$14=TRUE,N200,IF(Data!$B$15=TRUE,N164,N236))))))</f>
        <v>No guidance available</v>
      </c>
      <c r="O272" s="141" t="str">
        <f>IF(Data!$B$10=TRUE,O20,IF(Data!$B$11=TRUE,O56,IF(Data!$B$12=TRUE,O92,IF(Data!$B$13=TRUE,O128,IF(Data!$B$14=TRUE,O200,IF(Data!$B$15=TRUE,O164,O236))))))</f>
        <v>No guidance available</v>
      </c>
      <c r="P272" s="141" t="str">
        <f>IF(Data!$B$10=TRUE,P20,IF(Data!$B$11=TRUE,P56,IF(Data!$B$12=TRUE,P92,IF(Data!$B$13=TRUE,P128,IF(Data!$B$14=TRUE,P200,IF(Data!$B$15=TRUE,P164,P236))))))</f>
        <v>No guidance available</v>
      </c>
      <c r="Q272" s="141" t="str">
        <f>IF(Data!$B$10=TRUE,Q20,IF(Data!$B$11=TRUE,Q56,IF(Data!$B$12=TRUE,Q92,IF(Data!$B$13=TRUE,Q128,IF(Data!$B$14=TRUE,Q200,IF(Data!$B$15=TRUE,Q164,Q236))))))</f>
        <v>No guidance available</v>
      </c>
      <c r="R272" s="141" t="str">
        <f>IF(Data!$B$10=TRUE,R20,IF(Data!$B$11=TRUE,R56,IF(Data!$B$12=TRUE,R92,IF(Data!$B$13=TRUE,R128,IF(Data!$B$14=TRUE,R200,IF(Data!$B$15=TRUE,R164,R236))))))</f>
        <v>No guidance available</v>
      </c>
      <c r="S272" s="141" t="str">
        <f>IF(Data!$B$10=TRUE,S20,IF(Data!$B$11=TRUE,S56,IF(Data!$B$12=TRUE,S92,IF(Data!$B$13=TRUE,S128,IF(Data!$B$14=TRUE,S200,IF(Data!$B$15=TRUE,S164,S236))))))</f>
        <v>No guidance available</v>
      </c>
      <c r="T272" s="141" t="str">
        <f>IF(Data!$B$10=TRUE,T20,IF(Data!$B$11=TRUE,T56,IF(Data!$B$12=TRUE,T92,IF(Data!$B$13=TRUE,T128,IF(Data!$B$14=TRUE,T200,IF(Data!$B$15=TRUE,T164,T236))))))</f>
        <v>No guidance available</v>
      </c>
      <c r="U272" s="141" t="str">
        <f>IF(Data!$B$10=TRUE,U20,IF(Data!$B$11=TRUE,U56,IF(Data!$B$12=TRUE,U92,IF(Data!$B$13=TRUE,U128,IF(Data!$B$14=TRUE,U200,IF(Data!$B$15=TRUE,U164,U236))))))</f>
        <v>No guidance available</v>
      </c>
    </row>
    <row r="273" spans="1:21" x14ac:dyDescent="0.2">
      <c r="A273" s="1">
        <f t="shared" si="21"/>
        <v>17</v>
      </c>
      <c r="B273" s="85" t="s">
        <v>1302</v>
      </c>
      <c r="C273" s="154" t="str">
        <f>IF(Data!B$10=TRUE,C21,IF(Data!B$11=TRUE,C57,IF(Data!B$12=TRUE,C93,IF(Data!B$13=TRUE,C129,IF(Data!B$14=TRUE,C201,IF(Data!B$15=TRUE,C165,C237))))))</f>
        <v>No guidance available</v>
      </c>
      <c r="D273" s="46">
        <f t="shared" si="20"/>
        <v>16</v>
      </c>
      <c r="E273" s="141" t="str">
        <f>IF(Data!$B$10=TRUE,E21,IF(Data!$B$11=TRUE,E57,IF(Data!$B$12=TRUE,E93,IF(Data!$B$13=TRUE,E129,IF(Data!$B$14=TRUE,E201,IF(Data!$B$15=TRUE,E165,E237))))))</f>
        <v>Year not supported</v>
      </c>
      <c r="F273" s="141" t="str">
        <f>IF(Data!$B$10=TRUE,F21,IF(Data!$B$11=TRUE,F57,IF(Data!$B$12=TRUE,F93,IF(Data!$B$13=TRUE,F129,IF(Data!$B$14=TRUE,F201,IF(Data!$B$15=TRUE,F165,F237))))))</f>
        <v>No guidance available</v>
      </c>
      <c r="G273" s="141" t="str">
        <f>IF(Data!$B$10=TRUE,G21,IF(Data!$B$11=TRUE,G57,IF(Data!$B$12=TRUE,G93,IF(Data!$B$13=TRUE,G129,IF(Data!$B$14=TRUE,G201,IF(Data!$B$15=TRUE,G165,G237))))))</f>
        <v>No guidance available</v>
      </c>
      <c r="H273" s="141" t="str">
        <f>IF(Data!$B$10=TRUE,H21,IF(Data!$B$11=TRUE,H57,IF(Data!$B$12=TRUE,H93,IF(Data!$B$13=TRUE,H129,IF(Data!$B$14=TRUE,H201,IF(Data!$B$15=TRUE,H165,H237))))))</f>
        <v>No guidance available</v>
      </c>
      <c r="I273" s="141" t="str">
        <f>IF(Data!$B$10=TRUE,I21,IF(Data!$B$11=TRUE,I57,IF(Data!$B$12=TRUE,I93,IF(Data!$B$13=TRUE,I129,IF(Data!$B$14=TRUE,I201,IF(Data!$B$15=TRUE,I165,I237))))))</f>
        <v>No guidance available</v>
      </c>
      <c r="J273" s="141" t="str">
        <f>IF(Data!$B$10=TRUE,J21,IF(Data!$B$11=TRUE,J57,IF(Data!$B$12=TRUE,J93,IF(Data!$B$13=TRUE,J129,IF(Data!$B$14=TRUE,J201,IF(Data!$B$15=TRUE,J165,J237))))))</f>
        <v>No guidance available</v>
      </c>
      <c r="K273" s="141" t="str">
        <f>IF(Data!$B$10=TRUE,K21,IF(Data!$B$11=TRUE,K57,IF(Data!$B$12=TRUE,K93,IF(Data!$B$13=TRUE,K129,IF(Data!$B$14=TRUE,K201,IF(Data!$B$15=TRUE,K165,K237))))))</f>
        <v>No guidance available</v>
      </c>
      <c r="L273" s="141" t="str">
        <f>IF(Data!$B$10=TRUE,L21,IF(Data!$B$11=TRUE,L57,IF(Data!$B$12=TRUE,L93,IF(Data!$B$13=TRUE,L129,IF(Data!$B$14=TRUE,L201,IF(Data!$B$15=TRUE,L165,L237))))))</f>
        <v>No guidance available</v>
      </c>
      <c r="M273" s="141" t="str">
        <f>IF(Data!$B$10=TRUE,M21,IF(Data!$B$11=TRUE,M57,IF(Data!$B$12=TRUE,M93,IF(Data!$B$13=TRUE,M129,IF(Data!$B$14=TRUE,M201,IF(Data!$B$15=TRUE,M165,M237))))))</f>
        <v>No guidance available</v>
      </c>
      <c r="N273" s="141" t="str">
        <f>IF(Data!$B$10=TRUE,N21,IF(Data!$B$11=TRUE,N57,IF(Data!$B$12=TRUE,N93,IF(Data!$B$13=TRUE,N129,IF(Data!$B$14=TRUE,N201,IF(Data!$B$15=TRUE,N165,N237))))))</f>
        <v>No guidance available</v>
      </c>
      <c r="O273" s="141" t="str">
        <f>IF(Data!$B$10=TRUE,O21,IF(Data!$B$11=TRUE,O57,IF(Data!$B$12=TRUE,O93,IF(Data!$B$13=TRUE,O129,IF(Data!$B$14=TRUE,O201,IF(Data!$B$15=TRUE,O165,O237))))))</f>
        <v>No guidance available</v>
      </c>
      <c r="P273" s="141" t="str">
        <f>IF(Data!$B$10=TRUE,P21,IF(Data!$B$11=TRUE,P57,IF(Data!$B$12=TRUE,P93,IF(Data!$B$13=TRUE,P129,IF(Data!$B$14=TRUE,P201,IF(Data!$B$15=TRUE,P165,P237))))))</f>
        <v>No guidance available</v>
      </c>
      <c r="Q273" s="141" t="str">
        <f>IF(Data!$B$10=TRUE,Q21,IF(Data!$B$11=TRUE,Q57,IF(Data!$B$12=TRUE,Q93,IF(Data!$B$13=TRUE,Q129,IF(Data!$B$14=TRUE,Q201,IF(Data!$B$15=TRUE,Q165,Q237))))))</f>
        <v>No guidance available</v>
      </c>
      <c r="R273" s="141" t="str">
        <f>IF(Data!$B$10=TRUE,R21,IF(Data!$B$11=TRUE,R57,IF(Data!$B$12=TRUE,R93,IF(Data!$B$13=TRUE,R129,IF(Data!$B$14=TRUE,R201,IF(Data!$B$15=TRUE,R165,R237))))))</f>
        <v>No guidance available</v>
      </c>
      <c r="S273" s="141" t="str">
        <f>IF(Data!$B$10=TRUE,S21,IF(Data!$B$11=TRUE,S57,IF(Data!$B$12=TRUE,S93,IF(Data!$B$13=TRUE,S129,IF(Data!$B$14=TRUE,S201,IF(Data!$B$15=TRUE,S165,S237))))))</f>
        <v>No guidance available</v>
      </c>
      <c r="T273" s="141" t="str">
        <f>IF(Data!$B$10=TRUE,T21,IF(Data!$B$11=TRUE,T57,IF(Data!$B$12=TRUE,T93,IF(Data!$B$13=TRUE,T129,IF(Data!$B$14=TRUE,T201,IF(Data!$B$15=TRUE,T165,T237))))))</f>
        <v>No guidance available</v>
      </c>
      <c r="U273" s="141" t="str">
        <f>IF(Data!$B$10=TRUE,U21,IF(Data!$B$11=TRUE,U57,IF(Data!$B$12=TRUE,U93,IF(Data!$B$13=TRUE,U129,IF(Data!$B$14=TRUE,U201,IF(Data!$B$15=TRUE,U165,U237))))))</f>
        <v>No guidance available</v>
      </c>
    </row>
    <row r="274" spans="1:21" x14ac:dyDescent="0.2">
      <c r="A274" s="1">
        <f t="shared" si="21"/>
        <v>18</v>
      </c>
      <c r="B274" s="85" t="s">
        <v>1321</v>
      </c>
      <c r="C274" s="154" t="str">
        <f>IF(Data!B$10=TRUE,C22,IF(Data!B$11=TRUE,C58,IF(Data!B$12=TRUE,C94,IF(Data!B$13=TRUE,C130,IF(Data!B$14=TRUE,C202,IF(Data!B$15=TRUE,C166,C238))))))</f>
        <v>No guidance available</v>
      </c>
      <c r="D274" s="46">
        <f t="shared" si="20"/>
        <v>17</v>
      </c>
      <c r="E274" s="141" t="str">
        <f>IF(Data!$B$10=TRUE,E22,IF(Data!$B$11=TRUE,E58,IF(Data!$B$12=TRUE,E94,IF(Data!$B$13=TRUE,E130,IF(Data!$B$14=TRUE,E202,IF(Data!$B$15=TRUE,E166,E238))))))</f>
        <v>Year not supported</v>
      </c>
      <c r="F274" s="141" t="str">
        <f>IF(Data!$B$10=TRUE,F22,IF(Data!$B$11=TRUE,F58,IF(Data!$B$12=TRUE,F94,IF(Data!$B$13=TRUE,F130,IF(Data!$B$14=TRUE,F202,IF(Data!$B$15=TRUE,F166,F238))))))</f>
        <v>No guidance available</v>
      </c>
      <c r="G274" s="141" t="str">
        <f>IF(Data!$B$10=TRUE,G22,IF(Data!$B$11=TRUE,G58,IF(Data!$B$12=TRUE,G94,IF(Data!$B$13=TRUE,G130,IF(Data!$B$14=TRUE,G202,IF(Data!$B$15=TRUE,G166,G238))))))</f>
        <v>No guidance available</v>
      </c>
      <c r="H274" s="141" t="str">
        <f>IF(Data!$B$10=TRUE,H22,IF(Data!$B$11=TRUE,H58,IF(Data!$B$12=TRUE,H94,IF(Data!$B$13=TRUE,H130,IF(Data!$B$14=TRUE,H202,IF(Data!$B$15=TRUE,H166,H238))))))</f>
        <v>No guidance available</v>
      </c>
      <c r="I274" s="141" t="str">
        <f>IF(Data!$B$10=TRUE,I22,IF(Data!$B$11=TRUE,I58,IF(Data!$B$12=TRUE,I94,IF(Data!$B$13=TRUE,I130,IF(Data!$B$14=TRUE,I202,IF(Data!$B$15=TRUE,I166,I238))))))</f>
        <v>No guidance available</v>
      </c>
      <c r="J274" s="141" t="str">
        <f>IF(Data!$B$10=TRUE,J22,IF(Data!$B$11=TRUE,J58,IF(Data!$B$12=TRUE,J94,IF(Data!$B$13=TRUE,J130,IF(Data!$B$14=TRUE,J202,IF(Data!$B$15=TRUE,J166,J238))))))</f>
        <v>No guidance available</v>
      </c>
      <c r="K274" s="141" t="str">
        <f>IF(Data!$B$10=TRUE,K22,IF(Data!$B$11=TRUE,K58,IF(Data!$B$12=TRUE,K94,IF(Data!$B$13=TRUE,K130,IF(Data!$B$14=TRUE,K202,IF(Data!$B$15=TRUE,K166,K238))))))</f>
        <v>No guidance available</v>
      </c>
      <c r="L274" s="141" t="str">
        <f>IF(Data!$B$10=TRUE,L22,IF(Data!$B$11=TRUE,L58,IF(Data!$B$12=TRUE,L94,IF(Data!$B$13=TRUE,L130,IF(Data!$B$14=TRUE,L202,IF(Data!$B$15=TRUE,L166,L238))))))</f>
        <v>No guidance available</v>
      </c>
      <c r="M274" s="141" t="str">
        <f>IF(Data!$B$10=TRUE,M22,IF(Data!$B$11=TRUE,M58,IF(Data!$B$12=TRUE,M94,IF(Data!$B$13=TRUE,M130,IF(Data!$B$14=TRUE,M202,IF(Data!$B$15=TRUE,M166,M238))))))</f>
        <v>No guidance available</v>
      </c>
      <c r="N274" s="141" t="str">
        <f>IF(Data!$B$10=TRUE,N22,IF(Data!$B$11=TRUE,N58,IF(Data!$B$12=TRUE,N94,IF(Data!$B$13=TRUE,N130,IF(Data!$B$14=TRUE,N202,IF(Data!$B$15=TRUE,N166,N238))))))</f>
        <v>No guidance available</v>
      </c>
      <c r="O274" s="141" t="str">
        <f>IF(Data!$B$10=TRUE,O22,IF(Data!$B$11=TRUE,O58,IF(Data!$B$12=TRUE,O94,IF(Data!$B$13=TRUE,O130,IF(Data!$B$14=TRUE,O202,IF(Data!$B$15=TRUE,O166,O238))))))</f>
        <v>No guidance available</v>
      </c>
      <c r="P274" s="141" t="str">
        <f>IF(Data!$B$10=TRUE,P22,IF(Data!$B$11=TRUE,P58,IF(Data!$B$12=TRUE,P94,IF(Data!$B$13=TRUE,P130,IF(Data!$B$14=TRUE,P202,IF(Data!$B$15=TRUE,P166,P238))))))</f>
        <v>No guidance available</v>
      </c>
      <c r="Q274" s="141" t="str">
        <f>IF(Data!$B$10=TRUE,Q22,IF(Data!$B$11=TRUE,Q58,IF(Data!$B$12=TRUE,Q94,IF(Data!$B$13=TRUE,Q130,IF(Data!$B$14=TRUE,Q202,IF(Data!$B$15=TRUE,Q166,Q238))))))</f>
        <v>No guidance available</v>
      </c>
      <c r="R274" s="141" t="str">
        <f>IF(Data!$B$10=TRUE,R22,IF(Data!$B$11=TRUE,R58,IF(Data!$B$12=TRUE,R94,IF(Data!$B$13=TRUE,R130,IF(Data!$B$14=TRUE,R202,IF(Data!$B$15=TRUE,R166,R238))))))</f>
        <v>No guidance available</v>
      </c>
      <c r="S274" s="141" t="str">
        <f>IF(Data!$B$10=TRUE,S22,IF(Data!$B$11=TRUE,S58,IF(Data!$B$12=TRUE,S94,IF(Data!$B$13=TRUE,S130,IF(Data!$B$14=TRUE,S202,IF(Data!$B$15=TRUE,S166,S238))))))</f>
        <v>No guidance available</v>
      </c>
      <c r="T274" s="141" t="str">
        <f>IF(Data!$B$10=TRUE,T22,IF(Data!$B$11=TRUE,T58,IF(Data!$B$12=TRUE,T94,IF(Data!$B$13=TRUE,T130,IF(Data!$B$14=TRUE,T202,IF(Data!$B$15=TRUE,T166,T238))))))</f>
        <v>No guidance available</v>
      </c>
      <c r="U274" s="141" t="str">
        <f>IF(Data!$B$10=TRUE,U22,IF(Data!$B$11=TRUE,U58,IF(Data!$B$12=TRUE,U94,IF(Data!$B$13=TRUE,U130,IF(Data!$B$14=TRUE,U202,IF(Data!$B$15=TRUE,U166,U238))))))</f>
        <v>No guidance available</v>
      </c>
    </row>
    <row r="275" spans="1:21" x14ac:dyDescent="0.2">
      <c r="A275" s="1">
        <f t="shared" si="21"/>
        <v>19</v>
      </c>
      <c r="B275" s="85" t="s">
        <v>1303</v>
      </c>
      <c r="C275" s="154" t="str">
        <f>IF(Data!B$10=TRUE,C23,IF(Data!B$11=TRUE,C59,IF(Data!B$12=TRUE,C95,IF(Data!B$13=TRUE,C131,IF(Data!B$14=TRUE,C203,IF(Data!B$15=TRUE,C167,C239))))))</f>
        <v>No guidance available</v>
      </c>
      <c r="D275" s="46">
        <f t="shared" si="20"/>
        <v>18</v>
      </c>
      <c r="E275" s="141" t="str">
        <f>IF(Data!$B$10=TRUE,E23,IF(Data!$B$11=TRUE,E59,IF(Data!$B$12=TRUE,E95,IF(Data!$B$13=TRUE,E131,IF(Data!$B$14=TRUE,E203,IF(Data!$B$15=TRUE,E167,E239))))))</f>
        <v>Year not supported</v>
      </c>
      <c r="F275" s="141" t="str">
        <f>IF(Data!$B$10=TRUE,F23,IF(Data!$B$11=TRUE,F59,IF(Data!$B$12=TRUE,F95,IF(Data!$B$13=TRUE,F131,IF(Data!$B$14=TRUE,F203,IF(Data!$B$15=TRUE,F167,F239))))))</f>
        <v>No guidance available</v>
      </c>
      <c r="G275" s="141" t="str">
        <f>IF(Data!$B$10=TRUE,G23,IF(Data!$B$11=TRUE,G59,IF(Data!$B$12=TRUE,G95,IF(Data!$B$13=TRUE,G131,IF(Data!$B$14=TRUE,G203,IF(Data!$B$15=TRUE,G167,G239))))))</f>
        <v>No guidance available</v>
      </c>
      <c r="H275" s="141" t="str">
        <f>IF(Data!$B$10=TRUE,H23,IF(Data!$B$11=TRUE,H59,IF(Data!$B$12=TRUE,H95,IF(Data!$B$13=TRUE,H131,IF(Data!$B$14=TRUE,H203,IF(Data!$B$15=TRUE,H167,H239))))))</f>
        <v>No guidance available</v>
      </c>
      <c r="I275" s="141" t="str">
        <f>IF(Data!$B$10=TRUE,I23,IF(Data!$B$11=TRUE,I59,IF(Data!$B$12=TRUE,I95,IF(Data!$B$13=TRUE,I131,IF(Data!$B$14=TRUE,I203,IF(Data!$B$15=TRUE,I167,I239))))))</f>
        <v>No guidance available</v>
      </c>
      <c r="J275" s="141" t="str">
        <f>IF(Data!$B$10=TRUE,J23,IF(Data!$B$11=TRUE,J59,IF(Data!$B$12=TRUE,J95,IF(Data!$B$13=TRUE,J131,IF(Data!$B$14=TRUE,J203,IF(Data!$B$15=TRUE,J167,J239))))))</f>
        <v>No guidance available</v>
      </c>
      <c r="K275" s="141" t="str">
        <f>IF(Data!$B$10=TRUE,K23,IF(Data!$B$11=TRUE,K59,IF(Data!$B$12=TRUE,K95,IF(Data!$B$13=TRUE,K131,IF(Data!$B$14=TRUE,K203,IF(Data!$B$15=TRUE,K167,K239))))))</f>
        <v>No guidance available</v>
      </c>
      <c r="L275" s="141" t="str">
        <f>IF(Data!$B$10=TRUE,L23,IF(Data!$B$11=TRUE,L59,IF(Data!$B$12=TRUE,L95,IF(Data!$B$13=TRUE,L131,IF(Data!$B$14=TRUE,L203,IF(Data!$B$15=TRUE,L167,L239))))))</f>
        <v>No guidance available</v>
      </c>
      <c r="M275" s="141" t="str">
        <f>IF(Data!$B$10=TRUE,M23,IF(Data!$B$11=TRUE,M59,IF(Data!$B$12=TRUE,M95,IF(Data!$B$13=TRUE,M131,IF(Data!$B$14=TRUE,M203,IF(Data!$B$15=TRUE,M167,M239))))))</f>
        <v>No guidance available</v>
      </c>
      <c r="N275" s="141" t="str">
        <f>IF(Data!$B$10=TRUE,N23,IF(Data!$B$11=TRUE,N59,IF(Data!$B$12=TRUE,N95,IF(Data!$B$13=TRUE,N131,IF(Data!$B$14=TRUE,N203,IF(Data!$B$15=TRUE,N167,N239))))))</f>
        <v>No guidance available</v>
      </c>
      <c r="O275" s="141" t="str">
        <f>IF(Data!$B$10=TRUE,O23,IF(Data!$B$11=TRUE,O59,IF(Data!$B$12=TRUE,O95,IF(Data!$B$13=TRUE,O131,IF(Data!$B$14=TRUE,O203,IF(Data!$B$15=TRUE,O167,O239))))))</f>
        <v>No guidance available</v>
      </c>
      <c r="P275" s="141" t="str">
        <f>IF(Data!$B$10=TRUE,P23,IF(Data!$B$11=TRUE,P59,IF(Data!$B$12=TRUE,P95,IF(Data!$B$13=TRUE,P131,IF(Data!$B$14=TRUE,P203,IF(Data!$B$15=TRUE,P167,P239))))))</f>
        <v>No guidance available</v>
      </c>
      <c r="Q275" s="141" t="str">
        <f>IF(Data!$B$10=TRUE,Q23,IF(Data!$B$11=TRUE,Q59,IF(Data!$B$12=TRUE,Q95,IF(Data!$B$13=TRUE,Q131,IF(Data!$B$14=TRUE,Q203,IF(Data!$B$15=TRUE,Q167,Q239))))))</f>
        <v>No guidance available</v>
      </c>
      <c r="R275" s="141" t="str">
        <f>IF(Data!$B$10=TRUE,R23,IF(Data!$B$11=TRUE,R59,IF(Data!$B$12=TRUE,R95,IF(Data!$B$13=TRUE,R131,IF(Data!$B$14=TRUE,R203,IF(Data!$B$15=TRUE,R167,R239))))))</f>
        <v>No guidance available</v>
      </c>
      <c r="S275" s="141" t="str">
        <f>IF(Data!$B$10=TRUE,S23,IF(Data!$B$11=TRUE,S59,IF(Data!$B$12=TRUE,S95,IF(Data!$B$13=TRUE,S131,IF(Data!$B$14=TRUE,S203,IF(Data!$B$15=TRUE,S167,S239))))))</f>
        <v>No guidance available</v>
      </c>
      <c r="T275" s="141" t="str">
        <f>IF(Data!$B$10=TRUE,T23,IF(Data!$B$11=TRUE,T59,IF(Data!$B$12=TRUE,T95,IF(Data!$B$13=TRUE,T131,IF(Data!$B$14=TRUE,T203,IF(Data!$B$15=TRUE,T167,T239))))))</f>
        <v>No guidance available</v>
      </c>
      <c r="U275" s="141" t="str">
        <f>IF(Data!$B$10=TRUE,U23,IF(Data!$B$11=TRUE,U59,IF(Data!$B$12=TRUE,U95,IF(Data!$B$13=TRUE,U131,IF(Data!$B$14=TRUE,U203,IF(Data!$B$15=TRUE,U167,U239))))))</f>
        <v>No guidance available</v>
      </c>
    </row>
    <row r="276" spans="1:21" x14ac:dyDescent="0.2">
      <c r="A276" s="1">
        <f t="shared" si="21"/>
        <v>20</v>
      </c>
      <c r="B276" s="85" t="s">
        <v>1306</v>
      </c>
      <c r="C276" s="154" t="str">
        <f>IF(Data!B$10=TRUE,C24,IF(Data!B$11=TRUE,C60,IF(Data!B$12=TRUE,C96,IF(Data!B$13=TRUE,C132,IF(Data!B$14=TRUE,C204,IF(Data!B$15=TRUE,C168,C240))))))</f>
        <v>No guidance available</v>
      </c>
      <c r="D276" s="46">
        <f t="shared" si="20"/>
        <v>19</v>
      </c>
      <c r="E276" s="141" t="str">
        <f>IF(Data!$B$10=TRUE,E24,IF(Data!$B$11=TRUE,E60,IF(Data!$B$12=TRUE,E96,IF(Data!$B$13=TRUE,E132,IF(Data!$B$14=TRUE,E204,IF(Data!$B$15=TRUE,E168,E240))))))</f>
        <v>Year not supported</v>
      </c>
      <c r="F276" s="141" t="str">
        <f>IF(Data!$B$10=TRUE,F24,IF(Data!$B$11=TRUE,F60,IF(Data!$B$12=TRUE,F96,IF(Data!$B$13=TRUE,F132,IF(Data!$B$14=TRUE,F204,IF(Data!$B$15=TRUE,F168,F240))))))</f>
        <v>No guidance available</v>
      </c>
      <c r="G276" s="141" t="str">
        <f>IF(Data!$B$10=TRUE,G24,IF(Data!$B$11=TRUE,G60,IF(Data!$B$12=TRUE,G96,IF(Data!$B$13=TRUE,G132,IF(Data!$B$14=TRUE,G204,IF(Data!$B$15=TRUE,G168,G240))))))</f>
        <v>No guidance available</v>
      </c>
      <c r="H276" s="141" t="str">
        <f>IF(Data!$B$10=TRUE,H24,IF(Data!$B$11=TRUE,H60,IF(Data!$B$12=TRUE,H96,IF(Data!$B$13=TRUE,H132,IF(Data!$B$14=TRUE,H204,IF(Data!$B$15=TRUE,H168,H240))))))</f>
        <v>No guidance available</v>
      </c>
      <c r="I276" s="141" t="str">
        <f>IF(Data!$B$10=TRUE,I24,IF(Data!$B$11=TRUE,I60,IF(Data!$B$12=TRUE,I96,IF(Data!$B$13=TRUE,I132,IF(Data!$B$14=TRUE,I204,IF(Data!$B$15=TRUE,I168,I240))))))</f>
        <v>No guidance available</v>
      </c>
      <c r="J276" s="141" t="str">
        <f>IF(Data!$B$10=TRUE,J24,IF(Data!$B$11=TRUE,J60,IF(Data!$B$12=TRUE,J96,IF(Data!$B$13=TRUE,J132,IF(Data!$B$14=TRUE,J204,IF(Data!$B$15=TRUE,J168,J240))))))</f>
        <v>No guidance available</v>
      </c>
      <c r="K276" s="141" t="str">
        <f>IF(Data!$B$10=TRUE,K24,IF(Data!$B$11=TRUE,K60,IF(Data!$B$12=TRUE,K96,IF(Data!$B$13=TRUE,K132,IF(Data!$B$14=TRUE,K204,IF(Data!$B$15=TRUE,K168,K240))))))</f>
        <v>No guidance available</v>
      </c>
      <c r="L276" s="141" t="str">
        <f>IF(Data!$B$10=TRUE,L24,IF(Data!$B$11=TRUE,L60,IF(Data!$B$12=TRUE,L96,IF(Data!$B$13=TRUE,L132,IF(Data!$B$14=TRUE,L204,IF(Data!$B$15=TRUE,L168,L240))))))</f>
        <v>No guidance available</v>
      </c>
      <c r="M276" s="141" t="str">
        <f>IF(Data!$B$10=TRUE,M24,IF(Data!$B$11=TRUE,M60,IF(Data!$B$12=TRUE,M96,IF(Data!$B$13=TRUE,M132,IF(Data!$B$14=TRUE,M204,IF(Data!$B$15=TRUE,M168,M240))))))</f>
        <v>No guidance available</v>
      </c>
      <c r="N276" s="141" t="str">
        <f>IF(Data!$B$10=TRUE,N24,IF(Data!$B$11=TRUE,N60,IF(Data!$B$12=TRUE,N96,IF(Data!$B$13=TRUE,N132,IF(Data!$B$14=TRUE,N204,IF(Data!$B$15=TRUE,N168,N240))))))</f>
        <v>No guidance available</v>
      </c>
      <c r="O276" s="141" t="str">
        <f>IF(Data!$B$10=TRUE,O24,IF(Data!$B$11=TRUE,O60,IF(Data!$B$12=TRUE,O96,IF(Data!$B$13=TRUE,O132,IF(Data!$B$14=TRUE,O204,IF(Data!$B$15=TRUE,O168,O240))))))</f>
        <v>No guidance available</v>
      </c>
      <c r="P276" s="141" t="str">
        <f>IF(Data!$B$10=TRUE,P24,IF(Data!$B$11=TRUE,P60,IF(Data!$B$12=TRUE,P96,IF(Data!$B$13=TRUE,P132,IF(Data!$B$14=TRUE,P204,IF(Data!$B$15=TRUE,P168,P240))))))</f>
        <v>No guidance available</v>
      </c>
      <c r="Q276" s="141" t="str">
        <f>IF(Data!$B$10=TRUE,Q24,IF(Data!$B$11=TRUE,Q60,IF(Data!$B$12=TRUE,Q96,IF(Data!$B$13=TRUE,Q132,IF(Data!$B$14=TRUE,Q204,IF(Data!$B$15=TRUE,Q168,Q240))))))</f>
        <v>No guidance available</v>
      </c>
      <c r="R276" s="141" t="str">
        <f>IF(Data!$B$10=TRUE,R24,IF(Data!$B$11=TRUE,R60,IF(Data!$B$12=TRUE,R96,IF(Data!$B$13=TRUE,R132,IF(Data!$B$14=TRUE,R204,IF(Data!$B$15=TRUE,R168,R240))))))</f>
        <v>No guidance available</v>
      </c>
      <c r="S276" s="141" t="str">
        <f>IF(Data!$B$10=TRUE,S24,IF(Data!$B$11=TRUE,S60,IF(Data!$B$12=TRUE,S96,IF(Data!$B$13=TRUE,S132,IF(Data!$B$14=TRUE,S204,IF(Data!$B$15=TRUE,S168,S240))))))</f>
        <v>No guidance available</v>
      </c>
      <c r="T276" s="141" t="str">
        <f>IF(Data!$B$10=TRUE,T24,IF(Data!$B$11=TRUE,T60,IF(Data!$B$12=TRUE,T96,IF(Data!$B$13=TRUE,T132,IF(Data!$B$14=TRUE,T204,IF(Data!$B$15=TRUE,T168,T240))))))</f>
        <v>No guidance available</v>
      </c>
      <c r="U276" s="141" t="str">
        <f>IF(Data!$B$10=TRUE,U24,IF(Data!$B$11=TRUE,U60,IF(Data!$B$12=TRUE,U96,IF(Data!$B$13=TRUE,U132,IF(Data!$B$14=TRUE,U204,IF(Data!$B$15=TRUE,U168,U240))))))</f>
        <v>No guidance available</v>
      </c>
    </row>
    <row r="277" spans="1:21" x14ac:dyDescent="0.2">
      <c r="A277" s="1">
        <f t="shared" si="21"/>
        <v>21</v>
      </c>
      <c r="B277" s="85" t="s">
        <v>1304</v>
      </c>
      <c r="C277" s="154" t="str">
        <f>IF(Data!B$10=TRUE,C25,IF(Data!B$11=TRUE,C61,IF(Data!B$12=TRUE,C97,IF(Data!B$13=TRUE,C133,IF(Data!B$14=TRUE,C205,IF(Data!B$15=TRUE,C169,C241))))))</f>
        <v>No guidance available</v>
      </c>
      <c r="D277" s="46">
        <f t="shared" si="20"/>
        <v>20</v>
      </c>
      <c r="E277" s="141" t="str">
        <f>IF(Data!$B$10=TRUE,E25,IF(Data!$B$11=TRUE,E61,IF(Data!$B$12=TRUE,E97,IF(Data!$B$13=TRUE,E133,IF(Data!$B$14=TRUE,E205,IF(Data!$B$15=TRUE,E169,E241))))))</f>
        <v>Year not supported</v>
      </c>
      <c r="F277" s="141" t="str">
        <f>IF(Data!$B$10=TRUE,F25,IF(Data!$B$11=TRUE,F61,IF(Data!$B$12=TRUE,F97,IF(Data!$B$13=TRUE,F133,IF(Data!$B$14=TRUE,F205,IF(Data!$B$15=TRUE,F169,F241))))))</f>
        <v>No guidance available</v>
      </c>
      <c r="G277" s="141" t="str">
        <f>IF(Data!$B$10=TRUE,G25,IF(Data!$B$11=TRUE,G61,IF(Data!$B$12=TRUE,G97,IF(Data!$B$13=TRUE,G133,IF(Data!$B$14=TRUE,G205,IF(Data!$B$15=TRUE,G169,G241))))))</f>
        <v>No guidance available</v>
      </c>
      <c r="H277" s="141" t="str">
        <f>IF(Data!$B$10=TRUE,H25,IF(Data!$B$11=TRUE,H61,IF(Data!$B$12=TRUE,H97,IF(Data!$B$13=TRUE,H133,IF(Data!$B$14=TRUE,H205,IF(Data!$B$15=TRUE,H169,H241))))))</f>
        <v>No guidance available</v>
      </c>
      <c r="I277" s="141" t="str">
        <f>IF(Data!$B$10=TRUE,I25,IF(Data!$B$11=TRUE,I61,IF(Data!$B$12=TRUE,I97,IF(Data!$B$13=TRUE,I133,IF(Data!$B$14=TRUE,I205,IF(Data!$B$15=TRUE,I169,I241))))))</f>
        <v>No guidance available</v>
      </c>
      <c r="J277" s="141" t="str">
        <f>IF(Data!$B$10=TRUE,J25,IF(Data!$B$11=TRUE,J61,IF(Data!$B$12=TRUE,J97,IF(Data!$B$13=TRUE,J133,IF(Data!$B$14=TRUE,J205,IF(Data!$B$15=TRUE,J169,J241))))))</f>
        <v>No guidance available</v>
      </c>
      <c r="K277" s="141" t="str">
        <f>IF(Data!$B$10=TRUE,K25,IF(Data!$B$11=TRUE,K61,IF(Data!$B$12=TRUE,K97,IF(Data!$B$13=TRUE,K133,IF(Data!$B$14=TRUE,K205,IF(Data!$B$15=TRUE,K169,K241))))))</f>
        <v>No guidance available</v>
      </c>
      <c r="L277" s="141" t="str">
        <f>IF(Data!$B$10=TRUE,L25,IF(Data!$B$11=TRUE,L61,IF(Data!$B$12=TRUE,L97,IF(Data!$B$13=TRUE,L133,IF(Data!$B$14=TRUE,L205,IF(Data!$B$15=TRUE,L169,L241))))))</f>
        <v>No guidance available</v>
      </c>
      <c r="M277" s="141" t="str">
        <f>IF(Data!$B$10=TRUE,M25,IF(Data!$B$11=TRUE,M61,IF(Data!$B$12=TRUE,M97,IF(Data!$B$13=TRUE,M133,IF(Data!$B$14=TRUE,M205,IF(Data!$B$15=TRUE,M169,M241))))))</f>
        <v>No guidance available</v>
      </c>
      <c r="N277" s="141" t="str">
        <f>IF(Data!$B$10=TRUE,N25,IF(Data!$B$11=TRUE,N61,IF(Data!$B$12=TRUE,N97,IF(Data!$B$13=TRUE,N133,IF(Data!$B$14=TRUE,N205,IF(Data!$B$15=TRUE,N169,N241))))))</f>
        <v>No guidance available</v>
      </c>
      <c r="O277" s="141" t="str">
        <f>IF(Data!$B$10=TRUE,O25,IF(Data!$B$11=TRUE,O61,IF(Data!$B$12=TRUE,O97,IF(Data!$B$13=TRUE,O133,IF(Data!$B$14=TRUE,O205,IF(Data!$B$15=TRUE,O169,O241))))))</f>
        <v>No guidance available</v>
      </c>
      <c r="P277" s="141" t="str">
        <f>IF(Data!$B$10=TRUE,P25,IF(Data!$B$11=TRUE,P61,IF(Data!$B$12=TRUE,P97,IF(Data!$B$13=TRUE,P133,IF(Data!$B$14=TRUE,P205,IF(Data!$B$15=TRUE,P169,P241))))))</f>
        <v>No guidance available</v>
      </c>
      <c r="Q277" s="141" t="str">
        <f>IF(Data!$B$10=TRUE,Q25,IF(Data!$B$11=TRUE,Q61,IF(Data!$B$12=TRUE,Q97,IF(Data!$B$13=TRUE,Q133,IF(Data!$B$14=TRUE,Q205,IF(Data!$B$15=TRUE,Q169,Q241))))))</f>
        <v>No guidance available</v>
      </c>
      <c r="R277" s="141" t="str">
        <f>IF(Data!$B$10=TRUE,R25,IF(Data!$B$11=TRUE,R61,IF(Data!$B$12=TRUE,R97,IF(Data!$B$13=TRUE,R133,IF(Data!$B$14=TRUE,R205,IF(Data!$B$15=TRUE,R169,R241))))))</f>
        <v>No guidance available</v>
      </c>
      <c r="S277" s="141" t="str">
        <f>IF(Data!$B$10=TRUE,S25,IF(Data!$B$11=TRUE,S61,IF(Data!$B$12=TRUE,S97,IF(Data!$B$13=TRUE,S133,IF(Data!$B$14=TRUE,S205,IF(Data!$B$15=TRUE,S169,S241))))))</f>
        <v>No guidance available</v>
      </c>
      <c r="T277" s="141" t="str">
        <f>IF(Data!$B$10=TRUE,T25,IF(Data!$B$11=TRUE,T61,IF(Data!$B$12=TRUE,T97,IF(Data!$B$13=TRUE,T133,IF(Data!$B$14=TRUE,T205,IF(Data!$B$15=TRUE,T169,T241))))))</f>
        <v>No guidance available</v>
      </c>
      <c r="U277" s="141" t="str">
        <f>IF(Data!$B$10=TRUE,U25,IF(Data!$B$11=TRUE,U61,IF(Data!$B$12=TRUE,U97,IF(Data!$B$13=TRUE,U133,IF(Data!$B$14=TRUE,U205,IF(Data!$B$15=TRUE,U169,U241))))))</f>
        <v>No guidance available</v>
      </c>
    </row>
    <row r="278" spans="1:21" x14ac:dyDescent="0.2">
      <c r="A278" s="1">
        <f t="shared" si="21"/>
        <v>22</v>
      </c>
      <c r="B278" s="85" t="s">
        <v>1305</v>
      </c>
      <c r="C278" s="154" t="str">
        <f>IF(Data!B$10=TRUE,C26,IF(Data!B$11=TRUE,C62,IF(Data!B$12=TRUE,C98,IF(Data!B$13=TRUE,C134,IF(Data!B$14=TRUE,C206,IF(Data!B$15=TRUE,C170,C242))))))</f>
        <v>No guidance available</v>
      </c>
      <c r="D278" s="46">
        <f t="shared" si="20"/>
        <v>21</v>
      </c>
      <c r="E278" s="141" t="str">
        <f>IF(Data!$B$10=TRUE,E26,IF(Data!$B$11=TRUE,E62,IF(Data!$B$12=TRUE,E98,IF(Data!$B$13=TRUE,E134,IF(Data!$B$14=TRUE,E206,IF(Data!$B$15=TRUE,E170,E242))))))</f>
        <v>Year not supported</v>
      </c>
      <c r="F278" s="141" t="str">
        <f>IF(Data!$B$10=TRUE,F26,IF(Data!$B$11=TRUE,F62,IF(Data!$B$12=TRUE,F98,IF(Data!$B$13=TRUE,F134,IF(Data!$B$14=TRUE,F206,IF(Data!$B$15=TRUE,F170,F242))))))</f>
        <v>No guidance available</v>
      </c>
      <c r="G278" s="141" t="str">
        <f>IF(Data!$B$10=TRUE,G26,IF(Data!$B$11=TRUE,G62,IF(Data!$B$12=TRUE,G98,IF(Data!$B$13=TRUE,G134,IF(Data!$B$14=TRUE,G206,IF(Data!$B$15=TRUE,G170,G242))))))</f>
        <v>No guidance available</v>
      </c>
      <c r="H278" s="141" t="str">
        <f>IF(Data!$B$10=TRUE,H26,IF(Data!$B$11=TRUE,H62,IF(Data!$B$12=TRUE,H98,IF(Data!$B$13=TRUE,H134,IF(Data!$B$14=TRUE,H206,IF(Data!$B$15=TRUE,H170,H242))))))</f>
        <v>No guidance available</v>
      </c>
      <c r="I278" s="141" t="str">
        <f>IF(Data!$B$10=TRUE,I26,IF(Data!$B$11=TRUE,I62,IF(Data!$B$12=TRUE,I98,IF(Data!$B$13=TRUE,I134,IF(Data!$B$14=TRUE,I206,IF(Data!$B$15=TRUE,I170,I242))))))</f>
        <v>No guidance available</v>
      </c>
      <c r="J278" s="141" t="str">
        <f>IF(Data!$B$10=TRUE,J26,IF(Data!$B$11=TRUE,J62,IF(Data!$B$12=TRUE,J98,IF(Data!$B$13=TRUE,J134,IF(Data!$B$14=TRUE,J206,IF(Data!$B$15=TRUE,J170,J242))))))</f>
        <v>No guidance available</v>
      </c>
      <c r="K278" s="141" t="str">
        <f>IF(Data!$B$10=TRUE,K26,IF(Data!$B$11=TRUE,K62,IF(Data!$B$12=TRUE,K98,IF(Data!$B$13=TRUE,K134,IF(Data!$B$14=TRUE,K206,IF(Data!$B$15=TRUE,K170,K242))))))</f>
        <v>No guidance available</v>
      </c>
      <c r="L278" s="141" t="str">
        <f>IF(Data!$B$10=TRUE,L26,IF(Data!$B$11=TRUE,L62,IF(Data!$B$12=TRUE,L98,IF(Data!$B$13=TRUE,L134,IF(Data!$B$14=TRUE,L206,IF(Data!$B$15=TRUE,L170,L242))))))</f>
        <v>No guidance available</v>
      </c>
      <c r="M278" s="141" t="str">
        <f>IF(Data!$B$10=TRUE,M26,IF(Data!$B$11=TRUE,M62,IF(Data!$B$12=TRUE,M98,IF(Data!$B$13=TRUE,M134,IF(Data!$B$14=TRUE,M206,IF(Data!$B$15=TRUE,M170,M242))))))</f>
        <v>No guidance available</v>
      </c>
      <c r="N278" s="141" t="str">
        <f>IF(Data!$B$10=TRUE,N26,IF(Data!$B$11=TRUE,N62,IF(Data!$B$12=TRUE,N98,IF(Data!$B$13=TRUE,N134,IF(Data!$B$14=TRUE,N206,IF(Data!$B$15=TRUE,N170,N242))))))</f>
        <v>No guidance available</v>
      </c>
      <c r="O278" s="141" t="str">
        <f>IF(Data!$B$10=TRUE,O26,IF(Data!$B$11=TRUE,O62,IF(Data!$B$12=TRUE,O98,IF(Data!$B$13=TRUE,O134,IF(Data!$B$14=TRUE,O206,IF(Data!$B$15=TRUE,O170,O242))))))</f>
        <v>No guidance available</v>
      </c>
      <c r="P278" s="141" t="str">
        <f>IF(Data!$B$10=TRUE,P26,IF(Data!$B$11=TRUE,P62,IF(Data!$B$12=TRUE,P98,IF(Data!$B$13=TRUE,P134,IF(Data!$B$14=TRUE,P206,IF(Data!$B$15=TRUE,P170,P242))))))</f>
        <v>No guidance available</v>
      </c>
      <c r="Q278" s="141" t="str">
        <f>IF(Data!$B$10=TRUE,Q26,IF(Data!$B$11=TRUE,Q62,IF(Data!$B$12=TRUE,Q98,IF(Data!$B$13=TRUE,Q134,IF(Data!$B$14=TRUE,Q206,IF(Data!$B$15=TRUE,Q170,Q242))))))</f>
        <v>No guidance available</v>
      </c>
      <c r="R278" s="141" t="str">
        <f>IF(Data!$B$10=TRUE,R26,IF(Data!$B$11=TRUE,R62,IF(Data!$B$12=TRUE,R98,IF(Data!$B$13=TRUE,R134,IF(Data!$B$14=TRUE,R206,IF(Data!$B$15=TRUE,R170,R242))))))</f>
        <v>No guidance available</v>
      </c>
      <c r="S278" s="141" t="str">
        <f>IF(Data!$B$10=TRUE,S26,IF(Data!$B$11=TRUE,S62,IF(Data!$B$12=TRUE,S98,IF(Data!$B$13=TRUE,S134,IF(Data!$B$14=TRUE,S206,IF(Data!$B$15=TRUE,S170,S242))))))</f>
        <v>No guidance available</v>
      </c>
      <c r="T278" s="141" t="str">
        <f>IF(Data!$B$10=TRUE,T26,IF(Data!$B$11=TRUE,T62,IF(Data!$B$12=TRUE,T98,IF(Data!$B$13=TRUE,T134,IF(Data!$B$14=TRUE,T206,IF(Data!$B$15=TRUE,T170,T242))))))</f>
        <v>No guidance available</v>
      </c>
      <c r="U278" s="141" t="str">
        <f>IF(Data!$B$10=TRUE,U26,IF(Data!$B$11=TRUE,U62,IF(Data!$B$12=TRUE,U98,IF(Data!$B$13=TRUE,U134,IF(Data!$B$14=TRUE,U206,IF(Data!$B$15=TRUE,U170,U242))))))</f>
        <v>No guidance available</v>
      </c>
    </row>
    <row r="279" spans="1:21" x14ac:dyDescent="0.2">
      <c r="A279" s="1">
        <f t="shared" si="21"/>
        <v>23</v>
      </c>
      <c r="B279" s="40" t="s">
        <v>23</v>
      </c>
      <c r="C279" s="154" t="str">
        <f>IF(Data!B$10=TRUE,C27,IF(Data!B$11=TRUE,C63,IF(Data!B$12=TRUE,C99,IF(Data!B$13=TRUE,C135,IF(Data!B$14=TRUE,C207,IF(Data!B$15=TRUE,C171,C243))))))</f>
        <v>No guidance available</v>
      </c>
      <c r="D279" s="46">
        <f t="shared" si="20"/>
        <v>22</v>
      </c>
      <c r="E279" s="141" t="str">
        <f>IF(Data!$B$10=TRUE,E27,IF(Data!$B$11=TRUE,E63,IF(Data!$B$12=TRUE,E99,IF(Data!$B$13=TRUE,E135,IF(Data!$B$14=TRUE,E207,IF(Data!$B$15=TRUE,E171,E243))))))</f>
        <v>Year not supported</v>
      </c>
      <c r="F279" s="141" t="str">
        <f>IF(Data!$B$10=TRUE,F27,IF(Data!$B$11=TRUE,F63,IF(Data!$B$12=TRUE,F99,IF(Data!$B$13=TRUE,F135,IF(Data!$B$14=TRUE,F207,IF(Data!$B$15=TRUE,F171,F243))))))</f>
        <v>No guidance available</v>
      </c>
      <c r="G279" s="141" t="str">
        <f>IF(Data!$B$10=TRUE,G27,IF(Data!$B$11=TRUE,G63,IF(Data!$B$12=TRUE,G99,IF(Data!$B$13=TRUE,G135,IF(Data!$B$14=TRUE,G207,IF(Data!$B$15=TRUE,G171,G243))))))</f>
        <v>No guidance available</v>
      </c>
      <c r="H279" s="141" t="str">
        <f>IF(Data!$B$10=TRUE,H27,IF(Data!$B$11=TRUE,H63,IF(Data!$B$12=TRUE,H99,IF(Data!$B$13=TRUE,H135,IF(Data!$B$14=TRUE,H207,IF(Data!$B$15=TRUE,H171,H243))))))</f>
        <v>No guidance available</v>
      </c>
      <c r="I279" s="141" t="str">
        <f>IF(Data!$B$10=TRUE,I27,IF(Data!$B$11=TRUE,I63,IF(Data!$B$12=TRUE,I99,IF(Data!$B$13=TRUE,I135,IF(Data!$B$14=TRUE,I207,IF(Data!$B$15=TRUE,I171,I243))))))</f>
        <v>No guidance available</v>
      </c>
      <c r="J279" s="141" t="str">
        <f>IF(Data!$B$10=TRUE,J27,IF(Data!$B$11=TRUE,J63,IF(Data!$B$12=TRUE,J99,IF(Data!$B$13=TRUE,J135,IF(Data!$B$14=TRUE,J207,IF(Data!$B$15=TRUE,J171,J243))))))</f>
        <v>No guidance available</v>
      </c>
      <c r="K279" s="141" t="str">
        <f>IF(Data!$B$10=TRUE,K27,IF(Data!$B$11=TRUE,K63,IF(Data!$B$12=TRUE,K99,IF(Data!$B$13=TRUE,K135,IF(Data!$B$14=TRUE,K207,IF(Data!$B$15=TRUE,K171,K243))))))</f>
        <v>No guidance available</v>
      </c>
      <c r="L279" s="141" t="str">
        <f>IF(Data!$B$10=TRUE,L27,IF(Data!$B$11=TRUE,L63,IF(Data!$B$12=TRUE,L99,IF(Data!$B$13=TRUE,L135,IF(Data!$B$14=TRUE,L207,IF(Data!$B$15=TRUE,L171,L243))))))</f>
        <v>No guidance available</v>
      </c>
      <c r="M279" s="141" t="str">
        <f>IF(Data!$B$10=TRUE,M27,IF(Data!$B$11=TRUE,M63,IF(Data!$B$12=TRUE,M99,IF(Data!$B$13=TRUE,M135,IF(Data!$B$14=TRUE,M207,IF(Data!$B$15=TRUE,M171,M243))))))</f>
        <v>No guidance available</v>
      </c>
      <c r="N279" s="141" t="str">
        <f>IF(Data!$B$10=TRUE,N27,IF(Data!$B$11=TRUE,N63,IF(Data!$B$12=TRUE,N99,IF(Data!$B$13=TRUE,N135,IF(Data!$B$14=TRUE,N207,IF(Data!$B$15=TRUE,N171,N243))))))</f>
        <v>No guidance available</v>
      </c>
      <c r="O279" s="141" t="str">
        <f>IF(Data!$B$10=TRUE,O27,IF(Data!$B$11=TRUE,O63,IF(Data!$B$12=TRUE,O99,IF(Data!$B$13=TRUE,O135,IF(Data!$B$14=TRUE,O207,IF(Data!$B$15=TRUE,O171,O243))))))</f>
        <v>No guidance available</v>
      </c>
      <c r="P279" s="141" t="str">
        <f>IF(Data!$B$10=TRUE,P27,IF(Data!$B$11=TRUE,P63,IF(Data!$B$12=TRUE,P99,IF(Data!$B$13=TRUE,P135,IF(Data!$B$14=TRUE,P207,IF(Data!$B$15=TRUE,P171,P243))))))</f>
        <v>No guidance available</v>
      </c>
      <c r="Q279" s="141" t="str">
        <f>IF(Data!$B$10=TRUE,Q27,IF(Data!$B$11=TRUE,Q63,IF(Data!$B$12=TRUE,Q99,IF(Data!$B$13=TRUE,Q135,IF(Data!$B$14=TRUE,Q207,IF(Data!$B$15=TRUE,Q171,Q243))))))</f>
        <v>No guidance available</v>
      </c>
      <c r="R279" s="141" t="str">
        <f>IF(Data!$B$10=TRUE,R27,IF(Data!$B$11=TRUE,R63,IF(Data!$B$12=TRUE,R99,IF(Data!$B$13=TRUE,R135,IF(Data!$B$14=TRUE,R207,IF(Data!$B$15=TRUE,R171,R243))))))</f>
        <v>No guidance available</v>
      </c>
      <c r="S279" s="141" t="str">
        <f>IF(Data!$B$10=TRUE,S27,IF(Data!$B$11=TRUE,S63,IF(Data!$B$12=TRUE,S99,IF(Data!$B$13=TRUE,S135,IF(Data!$B$14=TRUE,S207,IF(Data!$B$15=TRUE,S171,S243))))))</f>
        <v>No guidance available</v>
      </c>
      <c r="T279" s="141" t="str">
        <f>IF(Data!$B$10=TRUE,T27,IF(Data!$B$11=TRUE,T63,IF(Data!$B$12=TRUE,T99,IF(Data!$B$13=TRUE,T135,IF(Data!$B$14=TRUE,T207,IF(Data!$B$15=TRUE,T171,T243))))))</f>
        <v>No guidance available</v>
      </c>
      <c r="U279" s="141" t="str">
        <f>IF(Data!$B$10=TRUE,U27,IF(Data!$B$11=TRUE,U63,IF(Data!$B$12=TRUE,U99,IF(Data!$B$13=TRUE,U135,IF(Data!$B$14=TRUE,U207,IF(Data!$B$15=TRUE,U171,U243))))))</f>
        <v>No guidance available</v>
      </c>
    </row>
    <row r="280" spans="1:21" x14ac:dyDescent="0.2">
      <c r="A280" s="1">
        <f t="shared" si="21"/>
        <v>24</v>
      </c>
      <c r="B280" s="40" t="s">
        <v>24</v>
      </c>
      <c r="C280" s="154" t="str">
        <f>IF(Data!B$10=TRUE,C28,IF(Data!B$11=TRUE,C64,IF(Data!B$12=TRUE,C100,IF(Data!B$13=TRUE,C136,IF(Data!B$14=TRUE,C208,IF(Data!B$15=TRUE,C172,C244))))))</f>
        <v>No guidance available</v>
      </c>
      <c r="D280" s="46">
        <f t="shared" si="20"/>
        <v>23</v>
      </c>
      <c r="E280" s="141" t="str">
        <f>IF(Data!$B$10=TRUE,E28,IF(Data!$B$11=TRUE,E64,IF(Data!$B$12=TRUE,E100,IF(Data!$B$13=TRUE,E136,IF(Data!$B$14=TRUE,E208,IF(Data!$B$15=TRUE,E172,E244))))))</f>
        <v>Year not supported</v>
      </c>
      <c r="F280" s="141" t="str">
        <f>IF(Data!$B$10=TRUE,F28,IF(Data!$B$11=TRUE,F64,IF(Data!$B$12=TRUE,F100,IF(Data!$B$13=TRUE,F136,IF(Data!$B$14=TRUE,F208,IF(Data!$B$15=TRUE,F172,F244))))))</f>
        <v>No guidance available</v>
      </c>
      <c r="G280" s="141" t="str">
        <f>IF(Data!$B$10=TRUE,G28,IF(Data!$B$11=TRUE,G64,IF(Data!$B$12=TRUE,G100,IF(Data!$B$13=TRUE,G136,IF(Data!$B$14=TRUE,G208,IF(Data!$B$15=TRUE,G172,G244))))))</f>
        <v>No guidance available</v>
      </c>
      <c r="H280" s="141" t="str">
        <f>IF(Data!$B$10=TRUE,H28,IF(Data!$B$11=TRUE,H64,IF(Data!$B$12=TRUE,H100,IF(Data!$B$13=TRUE,H136,IF(Data!$B$14=TRUE,H208,IF(Data!$B$15=TRUE,H172,H244))))))</f>
        <v>No guidance available</v>
      </c>
      <c r="I280" s="141" t="str">
        <f>IF(Data!$B$10=TRUE,I28,IF(Data!$B$11=TRUE,I64,IF(Data!$B$12=TRUE,I100,IF(Data!$B$13=TRUE,I136,IF(Data!$B$14=TRUE,I208,IF(Data!$B$15=TRUE,I172,I244))))))</f>
        <v>No guidance available</v>
      </c>
      <c r="J280" s="141" t="str">
        <f>IF(Data!$B$10=TRUE,J28,IF(Data!$B$11=TRUE,J64,IF(Data!$B$12=TRUE,J100,IF(Data!$B$13=TRUE,J136,IF(Data!$B$14=TRUE,J208,IF(Data!$B$15=TRUE,J172,J244))))))</f>
        <v>No guidance available</v>
      </c>
      <c r="K280" s="141" t="str">
        <f>IF(Data!$B$10=TRUE,K28,IF(Data!$B$11=TRUE,K64,IF(Data!$B$12=TRUE,K100,IF(Data!$B$13=TRUE,K136,IF(Data!$B$14=TRUE,K208,IF(Data!$B$15=TRUE,K172,K244))))))</f>
        <v>No guidance available</v>
      </c>
      <c r="L280" s="141" t="str">
        <f>IF(Data!$B$10=TRUE,L28,IF(Data!$B$11=TRUE,L64,IF(Data!$B$12=TRUE,L100,IF(Data!$B$13=TRUE,L136,IF(Data!$B$14=TRUE,L208,IF(Data!$B$15=TRUE,L172,L244))))))</f>
        <v>No guidance available</v>
      </c>
      <c r="M280" s="141" t="str">
        <f>IF(Data!$B$10=TRUE,M28,IF(Data!$B$11=TRUE,M64,IF(Data!$B$12=TRUE,M100,IF(Data!$B$13=TRUE,M136,IF(Data!$B$14=TRUE,M208,IF(Data!$B$15=TRUE,M172,M244))))))</f>
        <v>No guidance available</v>
      </c>
      <c r="N280" s="141" t="str">
        <f>IF(Data!$B$10=TRUE,N28,IF(Data!$B$11=TRUE,N64,IF(Data!$B$12=TRUE,N100,IF(Data!$B$13=TRUE,N136,IF(Data!$B$14=TRUE,N208,IF(Data!$B$15=TRUE,N172,N244))))))</f>
        <v>No guidance available</v>
      </c>
      <c r="O280" s="141" t="str">
        <f>IF(Data!$B$10=TRUE,O28,IF(Data!$B$11=TRUE,O64,IF(Data!$B$12=TRUE,O100,IF(Data!$B$13=TRUE,O136,IF(Data!$B$14=TRUE,O208,IF(Data!$B$15=TRUE,O172,O244))))))</f>
        <v>No guidance available</v>
      </c>
      <c r="P280" s="141" t="str">
        <f>IF(Data!$B$10=TRUE,P28,IF(Data!$B$11=TRUE,P64,IF(Data!$B$12=TRUE,P100,IF(Data!$B$13=TRUE,P136,IF(Data!$B$14=TRUE,P208,IF(Data!$B$15=TRUE,P172,P244))))))</f>
        <v>No guidance available</v>
      </c>
      <c r="Q280" s="141" t="str">
        <f>IF(Data!$B$10=TRUE,Q28,IF(Data!$B$11=TRUE,Q64,IF(Data!$B$12=TRUE,Q100,IF(Data!$B$13=TRUE,Q136,IF(Data!$B$14=TRUE,Q208,IF(Data!$B$15=TRUE,Q172,Q244))))))</f>
        <v>No guidance available</v>
      </c>
      <c r="R280" s="141" t="str">
        <f>IF(Data!$B$10=TRUE,R28,IF(Data!$B$11=TRUE,R64,IF(Data!$B$12=TRUE,R100,IF(Data!$B$13=TRUE,R136,IF(Data!$B$14=TRUE,R208,IF(Data!$B$15=TRUE,R172,R244))))))</f>
        <v>No guidance available</v>
      </c>
      <c r="S280" s="141" t="str">
        <f>IF(Data!$B$10=TRUE,S28,IF(Data!$B$11=TRUE,S64,IF(Data!$B$12=TRUE,S100,IF(Data!$B$13=TRUE,S136,IF(Data!$B$14=TRUE,S208,IF(Data!$B$15=TRUE,S172,S244))))))</f>
        <v>No guidance available</v>
      </c>
      <c r="T280" s="141" t="str">
        <f>IF(Data!$B$10=TRUE,T28,IF(Data!$B$11=TRUE,T64,IF(Data!$B$12=TRUE,T100,IF(Data!$B$13=TRUE,T136,IF(Data!$B$14=TRUE,T208,IF(Data!$B$15=TRUE,T172,T244))))))</f>
        <v>No guidance available</v>
      </c>
      <c r="U280" s="141" t="str">
        <f>IF(Data!$B$10=TRUE,U28,IF(Data!$B$11=TRUE,U64,IF(Data!$B$12=TRUE,U100,IF(Data!$B$13=TRUE,U136,IF(Data!$B$14=TRUE,U208,IF(Data!$B$15=TRUE,U172,U244))))))</f>
        <v>No guidance available</v>
      </c>
    </row>
    <row r="281" spans="1:21" x14ac:dyDescent="0.2">
      <c r="A281" s="1">
        <f t="shared" si="21"/>
        <v>25</v>
      </c>
      <c r="B281" s="40" t="s">
        <v>25</v>
      </c>
      <c r="C281" s="154" t="str">
        <f>IF(Data!B$10=TRUE,C29,IF(Data!B$11=TRUE,C65,IF(Data!B$12=TRUE,C101,IF(Data!B$13=TRUE,C137,IF(Data!B$14=TRUE,C209,IF(Data!B$15=TRUE,C173,C245))))))</f>
        <v>No guidance available</v>
      </c>
      <c r="D281" s="46">
        <f t="shared" si="20"/>
        <v>24</v>
      </c>
      <c r="E281" s="141" t="str">
        <f>IF(Data!$B$10=TRUE,E29,IF(Data!$B$11=TRUE,E65,IF(Data!$B$12=TRUE,E101,IF(Data!$B$13=TRUE,E137,IF(Data!$B$14=TRUE,E209,IF(Data!$B$15=TRUE,E173,E245))))))</f>
        <v>Year not supported</v>
      </c>
      <c r="F281" s="141" t="str">
        <f>IF(Data!$B$10=TRUE,F29,IF(Data!$B$11=TRUE,F65,IF(Data!$B$12=TRUE,F101,IF(Data!$B$13=TRUE,F137,IF(Data!$B$14=TRUE,F209,IF(Data!$B$15=TRUE,F173,F245))))))</f>
        <v>No guidance available</v>
      </c>
      <c r="G281" s="141" t="str">
        <f>IF(Data!$B$10=TRUE,G29,IF(Data!$B$11=TRUE,G65,IF(Data!$B$12=TRUE,G101,IF(Data!$B$13=TRUE,G137,IF(Data!$B$14=TRUE,G209,IF(Data!$B$15=TRUE,G173,G245))))))</f>
        <v>No guidance available</v>
      </c>
      <c r="H281" s="141" t="str">
        <f>IF(Data!$B$10=TRUE,H29,IF(Data!$B$11=TRUE,H65,IF(Data!$B$12=TRUE,H101,IF(Data!$B$13=TRUE,H137,IF(Data!$B$14=TRUE,H209,IF(Data!$B$15=TRUE,H173,H245))))))</f>
        <v>No guidance available</v>
      </c>
      <c r="I281" s="141" t="str">
        <f>IF(Data!$B$10=TRUE,I29,IF(Data!$B$11=TRUE,I65,IF(Data!$B$12=TRUE,I101,IF(Data!$B$13=TRUE,I137,IF(Data!$B$14=TRUE,I209,IF(Data!$B$15=TRUE,I173,I245))))))</f>
        <v>No guidance available</v>
      </c>
      <c r="J281" s="141" t="str">
        <f>IF(Data!$B$10=TRUE,J29,IF(Data!$B$11=TRUE,J65,IF(Data!$B$12=TRUE,J101,IF(Data!$B$13=TRUE,J137,IF(Data!$B$14=TRUE,J209,IF(Data!$B$15=TRUE,J173,J245))))))</f>
        <v>No guidance available</v>
      </c>
      <c r="K281" s="141" t="str">
        <f>IF(Data!$B$10=TRUE,K29,IF(Data!$B$11=TRUE,K65,IF(Data!$B$12=TRUE,K101,IF(Data!$B$13=TRUE,K137,IF(Data!$B$14=TRUE,K209,IF(Data!$B$15=TRUE,K173,K245))))))</f>
        <v>No guidance available</v>
      </c>
      <c r="L281" s="141" t="str">
        <f>IF(Data!$B$10=TRUE,L29,IF(Data!$B$11=TRUE,L65,IF(Data!$B$12=TRUE,L101,IF(Data!$B$13=TRUE,L137,IF(Data!$B$14=TRUE,L209,IF(Data!$B$15=TRUE,L173,L245))))))</f>
        <v>No guidance available</v>
      </c>
      <c r="M281" s="141" t="str">
        <f>IF(Data!$B$10=TRUE,M29,IF(Data!$B$11=TRUE,M65,IF(Data!$B$12=TRUE,M101,IF(Data!$B$13=TRUE,M137,IF(Data!$B$14=TRUE,M209,IF(Data!$B$15=TRUE,M173,M245))))))</f>
        <v>No guidance available</v>
      </c>
      <c r="N281" s="141" t="str">
        <f>IF(Data!$B$10=TRUE,N29,IF(Data!$B$11=TRUE,N65,IF(Data!$B$12=TRUE,N101,IF(Data!$B$13=TRUE,N137,IF(Data!$B$14=TRUE,N209,IF(Data!$B$15=TRUE,N173,N245))))))</f>
        <v>No guidance available</v>
      </c>
      <c r="O281" s="141" t="str">
        <f>IF(Data!$B$10=TRUE,O29,IF(Data!$B$11=TRUE,O65,IF(Data!$B$12=TRUE,O101,IF(Data!$B$13=TRUE,O137,IF(Data!$B$14=TRUE,O209,IF(Data!$B$15=TRUE,O173,O245))))))</f>
        <v>No guidance available</v>
      </c>
      <c r="P281" s="141" t="str">
        <f>IF(Data!$B$10=TRUE,P29,IF(Data!$B$11=TRUE,P65,IF(Data!$B$12=TRUE,P101,IF(Data!$B$13=TRUE,P137,IF(Data!$B$14=TRUE,P209,IF(Data!$B$15=TRUE,P173,P245))))))</f>
        <v>No guidance available</v>
      </c>
      <c r="Q281" s="697" t="str">
        <f>IF(Data!$B$10=TRUE,Q29,IF(Data!$B$11=TRUE,Q65,IF(Data!$B$12=TRUE,Q101,IF(Data!$B$13=TRUE,Q137,IF(Data!$B$14=TRUE,Q209,IF(Data!$B$15=TRUE,Q173,Q245))))))</f>
        <v>No guidance available</v>
      </c>
      <c r="R281" s="141" t="str">
        <f>IF(Data!$B$10=TRUE,R29,IF(Data!$B$11=TRUE,R65,IF(Data!$B$12=TRUE,R101,IF(Data!$B$13=TRUE,R137,IF(Data!$B$14=TRUE,R209,IF(Data!$B$15=TRUE,R173,R245))))))</f>
        <v>No guidance available</v>
      </c>
      <c r="S281" s="141" t="str">
        <f>IF(Data!$B$10=TRUE,S29,IF(Data!$B$11=TRUE,S65,IF(Data!$B$12=TRUE,S101,IF(Data!$B$13=TRUE,S137,IF(Data!$B$14=TRUE,S209,IF(Data!$B$15=TRUE,S173,S245))))))</f>
        <v>No guidance available</v>
      </c>
      <c r="T281" s="141" t="str">
        <f>IF(Data!$B$10=TRUE,T29,IF(Data!$B$11=TRUE,T65,IF(Data!$B$12=TRUE,T101,IF(Data!$B$13=TRUE,T137,IF(Data!$B$14=TRUE,T209,IF(Data!$B$15=TRUE,T173,T245))))))</f>
        <v>No guidance available</v>
      </c>
      <c r="U281" s="141" t="str">
        <f>IF(Data!$B$10=TRUE,U29,IF(Data!$B$11=TRUE,U65,IF(Data!$B$12=TRUE,U101,IF(Data!$B$13=TRUE,U137,IF(Data!$B$14=TRUE,U209,IF(Data!$B$15=TRUE,U173,U245))))))</f>
        <v>No guidance available</v>
      </c>
    </row>
    <row r="282" spans="1:21" x14ac:dyDescent="0.2">
      <c r="A282" s="1">
        <f t="shared" si="21"/>
        <v>26</v>
      </c>
      <c r="B282" s="40" t="s">
        <v>26</v>
      </c>
      <c r="C282" s="154" t="str">
        <f>IF(Data!B$10=TRUE,C30,IF(Data!B$11=TRUE,C66,IF(Data!B$12=TRUE,C102,IF(Data!B$13=TRUE,C138,IF(Data!B$14=TRUE,C210,IF(Data!B$15=TRUE,C174,C246))))))</f>
        <v>No guidance available</v>
      </c>
      <c r="D282" s="46">
        <f t="shared" si="20"/>
        <v>25</v>
      </c>
      <c r="E282" s="141" t="str">
        <f>IF(Data!$B$10=TRUE,E30,IF(Data!$B$11=TRUE,E66,IF(Data!$B$12=TRUE,E102,IF(Data!$B$13=TRUE,E138,IF(Data!$B$14=TRUE,E210,IF(Data!$B$15=TRUE,E174,E246))))))</f>
        <v>Year not supported</v>
      </c>
      <c r="F282" s="141" t="str">
        <f>IF(Data!$B$10=TRUE,F30,IF(Data!$B$11=TRUE,F66,IF(Data!$B$12=TRUE,F102,IF(Data!$B$13=TRUE,F138,IF(Data!$B$14=TRUE,F210,IF(Data!$B$15=TRUE,F174,F246))))))</f>
        <v>No guidance available</v>
      </c>
      <c r="G282" s="141" t="str">
        <f>IF(Data!$B$10=TRUE,G30,IF(Data!$B$11=TRUE,G66,IF(Data!$B$12=TRUE,G102,IF(Data!$B$13=TRUE,G138,IF(Data!$B$14=TRUE,G210,IF(Data!$B$15=TRUE,G174,G246))))))</f>
        <v>No guidance available</v>
      </c>
      <c r="H282" s="141" t="str">
        <f>IF(Data!$B$10=TRUE,H30,IF(Data!$B$11=TRUE,H66,IF(Data!$B$12=TRUE,H102,IF(Data!$B$13=TRUE,H138,IF(Data!$B$14=TRUE,H210,IF(Data!$B$15=TRUE,H174,H246))))))</f>
        <v>No guidance available</v>
      </c>
      <c r="I282" s="141" t="str">
        <f>IF(Data!$B$10=TRUE,I30,IF(Data!$B$11=TRUE,I66,IF(Data!$B$12=TRUE,I102,IF(Data!$B$13=TRUE,I138,IF(Data!$B$14=TRUE,I210,IF(Data!$B$15=TRUE,I174,I246))))))</f>
        <v>No guidance available</v>
      </c>
      <c r="J282" s="141" t="str">
        <f>IF(Data!$B$10=TRUE,J30,IF(Data!$B$11=TRUE,J66,IF(Data!$B$12=TRUE,J102,IF(Data!$B$13=TRUE,J138,IF(Data!$B$14=TRUE,J210,IF(Data!$B$15=TRUE,J174,J246))))))</f>
        <v>No guidance available</v>
      </c>
      <c r="K282" s="141" t="str">
        <f>IF(Data!$B$10=TRUE,K30,IF(Data!$B$11=TRUE,K66,IF(Data!$B$12=TRUE,K102,IF(Data!$B$13=TRUE,K138,IF(Data!$B$14=TRUE,K210,IF(Data!$B$15=TRUE,K174,K246))))))</f>
        <v>No guidance available</v>
      </c>
      <c r="L282" s="141" t="str">
        <f>IF(Data!$B$10=TRUE,L30,IF(Data!$B$11=TRUE,L66,IF(Data!$B$12=TRUE,L102,IF(Data!$B$13=TRUE,L138,IF(Data!$B$14=TRUE,L210,IF(Data!$B$15=TRUE,L174,L246))))))</f>
        <v>No guidance available</v>
      </c>
      <c r="M282" s="141" t="str">
        <f>IF(Data!$B$10=TRUE,M30,IF(Data!$B$11=TRUE,M66,IF(Data!$B$12=TRUE,M102,IF(Data!$B$13=TRUE,M138,IF(Data!$B$14=TRUE,M210,IF(Data!$B$15=TRUE,M174,M246))))))</f>
        <v>No guidance available</v>
      </c>
      <c r="N282" s="141" t="str">
        <f>IF(Data!$B$10=TRUE,N30,IF(Data!$B$11=TRUE,N66,IF(Data!$B$12=TRUE,N102,IF(Data!$B$13=TRUE,N138,IF(Data!$B$14=TRUE,N210,IF(Data!$B$15=TRUE,N174,N246))))))</f>
        <v>No guidance available</v>
      </c>
      <c r="O282" s="141" t="str">
        <f>IF(Data!$B$10=TRUE,O30,IF(Data!$B$11=TRUE,O66,IF(Data!$B$12=TRUE,O102,IF(Data!$B$13=TRUE,O138,IF(Data!$B$14=TRUE,O210,IF(Data!$B$15=TRUE,O174,O246))))))</f>
        <v>No guidance available</v>
      </c>
      <c r="P282" s="141" t="str">
        <f>IF(Data!$B$10=TRUE,P30,IF(Data!$B$11=TRUE,P66,IF(Data!$B$12=TRUE,P102,IF(Data!$B$13=TRUE,P138,IF(Data!$B$14=TRUE,P210,IF(Data!$B$15=TRUE,P174,P246))))))</f>
        <v>No guidance available</v>
      </c>
      <c r="Q282" s="141" t="str">
        <f>IF(Data!$B$10=TRUE,Q30,IF(Data!$B$11=TRUE,Q66,IF(Data!$B$12=TRUE,Q102,IF(Data!$B$13=TRUE,Q138,IF(Data!$B$14=TRUE,Q210,IF(Data!$B$15=TRUE,Q174,Q246))))))</f>
        <v>No guidance available</v>
      </c>
      <c r="R282" s="141" t="str">
        <f>IF(Data!$B$10=TRUE,R30,IF(Data!$B$11=TRUE,R66,IF(Data!$B$12=TRUE,R102,IF(Data!$B$13=TRUE,R138,IF(Data!$B$14=TRUE,R210,IF(Data!$B$15=TRUE,R174,R246))))))</f>
        <v>No guidance available</v>
      </c>
      <c r="S282" s="141" t="str">
        <f>IF(Data!$B$10=TRUE,S30,IF(Data!$B$11=TRUE,S66,IF(Data!$B$12=TRUE,S102,IF(Data!$B$13=TRUE,S138,IF(Data!$B$14=TRUE,S210,IF(Data!$B$15=TRUE,S174,S246))))))</f>
        <v>No guidance available</v>
      </c>
      <c r="T282" s="141" t="str">
        <f>IF(Data!$B$10=TRUE,T30,IF(Data!$B$11=TRUE,T66,IF(Data!$B$12=TRUE,T102,IF(Data!$B$13=TRUE,T138,IF(Data!$B$14=TRUE,T210,IF(Data!$B$15=TRUE,T174,T246))))))</f>
        <v>No guidance available</v>
      </c>
      <c r="U282" s="141" t="str">
        <f>IF(Data!$B$10=TRUE,U30,IF(Data!$B$11=TRUE,U66,IF(Data!$B$12=TRUE,U102,IF(Data!$B$13=TRUE,U138,IF(Data!$B$14=TRUE,U210,IF(Data!$B$15=TRUE,U174,U246))))))</f>
        <v>No guidance available</v>
      </c>
    </row>
    <row r="283" spans="1:21" x14ac:dyDescent="0.2">
      <c r="A283" s="1">
        <f t="shared" si="21"/>
        <v>27</v>
      </c>
      <c r="B283" s="40" t="s">
        <v>361</v>
      </c>
      <c r="C283" s="154" t="str">
        <f>IF(Data!B$10=TRUE,C31,IF(Data!B$11=TRUE,C67,IF(Data!B$12=TRUE,C103,IF(Data!B$13=TRUE,C139,IF(Data!B$14=TRUE,C211,IF(Data!B$15=TRUE,C175,C247))))))</f>
        <v>No guidance available</v>
      </c>
      <c r="D283" s="46">
        <f t="shared" si="20"/>
        <v>26</v>
      </c>
      <c r="E283" s="141" t="str">
        <f>IF(Data!$B$10=TRUE,E31,IF(Data!$B$11=TRUE,E67,IF(Data!$B$12=TRUE,E103,IF(Data!$B$13=TRUE,E139,IF(Data!$B$14=TRUE,E211,IF(Data!$B$15=TRUE,E175,E247))))))</f>
        <v>Year not supported</v>
      </c>
      <c r="F283" s="141" t="str">
        <f>IF(Data!$B$10=TRUE,F31,IF(Data!$B$11=TRUE,F67,IF(Data!$B$12=TRUE,F103,IF(Data!$B$13=TRUE,F139,IF(Data!$B$14=TRUE,F211,IF(Data!$B$15=TRUE,F175,F247))))))</f>
        <v>No guidance available</v>
      </c>
      <c r="G283" s="141" t="str">
        <f>IF(Data!$B$10=TRUE,G31,IF(Data!$B$11=TRUE,G67,IF(Data!$B$12=TRUE,G103,IF(Data!$B$13=TRUE,G139,IF(Data!$B$14=TRUE,G211,IF(Data!$B$15=TRUE,G175,G247))))))</f>
        <v>No guidance available</v>
      </c>
      <c r="H283" s="141" t="str">
        <f>IF(Data!$B$10=TRUE,H31,IF(Data!$B$11=TRUE,H67,IF(Data!$B$12=TRUE,H103,IF(Data!$B$13=TRUE,H139,IF(Data!$B$14=TRUE,H211,IF(Data!$B$15=TRUE,H175,H247))))))</f>
        <v>No guidance available</v>
      </c>
      <c r="I283" s="141" t="str">
        <f>IF(Data!$B$10=TRUE,I31,IF(Data!$B$11=TRUE,I67,IF(Data!$B$12=TRUE,I103,IF(Data!$B$13=TRUE,I139,IF(Data!$B$14=TRUE,I211,IF(Data!$B$15=TRUE,I175,I247))))))</f>
        <v>No guidance available</v>
      </c>
      <c r="J283" s="141" t="str">
        <f>IF(Data!$B$10=TRUE,J31,IF(Data!$B$11=TRUE,J67,IF(Data!$B$12=TRUE,J103,IF(Data!$B$13=TRUE,J139,IF(Data!$B$14=TRUE,J211,IF(Data!$B$15=TRUE,J175,J247))))))</f>
        <v>No guidance available</v>
      </c>
      <c r="K283" s="141" t="str">
        <f>IF(Data!$B$10=TRUE,K31,IF(Data!$B$11=TRUE,K67,IF(Data!$B$12=TRUE,K103,IF(Data!$B$13=TRUE,K139,IF(Data!$B$14=TRUE,K211,IF(Data!$B$15=TRUE,K175,K247))))))</f>
        <v>No guidance available</v>
      </c>
      <c r="L283" s="141" t="str">
        <f>IF(Data!$B$10=TRUE,L31,IF(Data!$B$11=TRUE,L67,IF(Data!$B$12=TRUE,L103,IF(Data!$B$13=TRUE,L139,IF(Data!$B$14=TRUE,L211,IF(Data!$B$15=TRUE,L175,L247))))))</f>
        <v>No guidance available</v>
      </c>
      <c r="M283" s="141" t="str">
        <f>IF(Data!$B$10=TRUE,M31,IF(Data!$B$11=TRUE,M67,IF(Data!$B$12=TRUE,M103,IF(Data!$B$13=TRUE,M139,IF(Data!$B$14=TRUE,M211,IF(Data!$B$15=TRUE,M175,M247))))))</f>
        <v>No guidance available</v>
      </c>
      <c r="N283" s="141" t="str">
        <f>IF(Data!$B$10=TRUE,N31,IF(Data!$B$11=TRUE,N67,IF(Data!$B$12=TRUE,N103,IF(Data!$B$13=TRUE,N139,IF(Data!$B$14=TRUE,N211,IF(Data!$B$15=TRUE,N175,N247))))))</f>
        <v>No guidance available</v>
      </c>
      <c r="O283" s="141" t="str">
        <f>IF(Data!$B$10=TRUE,O31,IF(Data!$B$11=TRUE,O67,IF(Data!$B$12=TRUE,O103,IF(Data!$B$13=TRUE,O139,IF(Data!$B$14=TRUE,O211,IF(Data!$B$15=TRUE,O175,O247))))))</f>
        <v>No guidance available</v>
      </c>
      <c r="P283" s="141" t="str">
        <f>IF(Data!$B$10=TRUE,P31,IF(Data!$B$11=TRUE,P67,IF(Data!$B$12=TRUE,P103,IF(Data!$B$13=TRUE,P139,IF(Data!$B$14=TRUE,P211,IF(Data!$B$15=TRUE,P175,P247))))))</f>
        <v>No guidance available</v>
      </c>
      <c r="Q283" s="141" t="str">
        <f>IF(Data!$B$10=TRUE,Q31,IF(Data!$B$11=TRUE,Q67,IF(Data!$B$12=TRUE,Q103,IF(Data!$B$13=TRUE,Q139,IF(Data!$B$14=TRUE,Q211,IF(Data!$B$15=TRUE,Q175,Q247))))))</f>
        <v>No guidance available</v>
      </c>
      <c r="R283" s="141" t="str">
        <f>IF(Data!$B$10=TRUE,R31,IF(Data!$B$11=TRUE,R67,IF(Data!$B$12=TRUE,R103,IF(Data!$B$13=TRUE,R139,IF(Data!$B$14=TRUE,R211,IF(Data!$B$15=TRUE,R175,R247))))))</f>
        <v>No guidance available</v>
      </c>
      <c r="S283" s="141" t="str">
        <f>IF(Data!$B$10=TRUE,S31,IF(Data!$B$11=TRUE,S67,IF(Data!$B$12=TRUE,S103,IF(Data!$B$13=TRUE,S139,IF(Data!$B$14=TRUE,S211,IF(Data!$B$15=TRUE,S175,S247))))))</f>
        <v>No guidance available</v>
      </c>
      <c r="T283" s="141" t="str">
        <f>IF(Data!$B$10=TRUE,T31,IF(Data!$B$11=TRUE,T67,IF(Data!$B$12=TRUE,T103,IF(Data!$B$13=TRUE,T139,IF(Data!$B$14=TRUE,T211,IF(Data!$B$15=TRUE,T175,T247))))))</f>
        <v>No guidance available</v>
      </c>
      <c r="U283" s="141" t="str">
        <f>IF(Data!$B$10=TRUE,U31,IF(Data!$B$11=TRUE,U67,IF(Data!$B$12=TRUE,U103,IF(Data!$B$13=TRUE,U139,IF(Data!$B$14=TRUE,U211,IF(Data!$B$15=TRUE,U175,U247))))))</f>
        <v>No guidance available</v>
      </c>
    </row>
    <row r="284" spans="1:21" x14ac:dyDescent="0.2">
      <c r="A284" s="1">
        <f t="shared" si="21"/>
        <v>28</v>
      </c>
      <c r="B284" s="40" t="s">
        <v>654</v>
      </c>
      <c r="C284" s="154" t="str">
        <f>IF(Data!B$10=TRUE,C32,IF(Data!B$11=TRUE,C68,IF(Data!B$12=TRUE,C104,IF(Data!B$13=TRUE,C140,IF(Data!B$14=TRUE,C212,IF(Data!B$15=TRUE,C176,C248))))))</f>
        <v>No guidance available</v>
      </c>
      <c r="D284" s="46">
        <f t="shared" si="20"/>
        <v>27</v>
      </c>
      <c r="E284" s="141" t="str">
        <f>IF(Data!$B$10=TRUE,E32,IF(Data!$B$11=TRUE,E68,IF(Data!$B$12=TRUE,E104,IF(Data!$B$13=TRUE,E140,IF(Data!$B$14=TRUE,E212,IF(Data!$B$15=TRUE,E176,E248))))))</f>
        <v>Year not supported</v>
      </c>
      <c r="F284" s="141" t="str">
        <f>IF(Data!$B$10=TRUE,F32,IF(Data!$B$11=TRUE,F68,IF(Data!$B$12=TRUE,F104,IF(Data!$B$13=TRUE,F140,IF(Data!$B$14=TRUE,F212,IF(Data!$B$15=TRUE,F176,F248))))))</f>
        <v>No guidance available</v>
      </c>
      <c r="G284" s="141" t="str">
        <f>IF(Data!$B$10=TRUE,G32,IF(Data!$B$11=TRUE,G68,IF(Data!$B$12=TRUE,G104,IF(Data!$B$13=TRUE,G140,IF(Data!$B$14=TRUE,G212,IF(Data!$B$15=TRUE,G176,G248))))))</f>
        <v>No guidance available</v>
      </c>
      <c r="H284" s="141" t="str">
        <f>IF(Data!$B$10=TRUE,H32,IF(Data!$B$11=TRUE,H68,IF(Data!$B$12=TRUE,H104,IF(Data!$B$13=TRUE,H140,IF(Data!$B$14=TRUE,H212,IF(Data!$B$15=TRUE,H176,H248))))))</f>
        <v>No guidance available</v>
      </c>
      <c r="I284" s="141" t="str">
        <f>IF(Data!$B$10=TRUE,I32,IF(Data!$B$11=TRUE,I68,IF(Data!$B$12=TRUE,I104,IF(Data!$B$13=TRUE,I140,IF(Data!$B$14=TRUE,I212,IF(Data!$B$15=TRUE,I176,I248))))))</f>
        <v>No guidance available</v>
      </c>
      <c r="J284" s="141" t="str">
        <f>IF(Data!$B$10=TRUE,J32,IF(Data!$B$11=TRUE,J68,IF(Data!$B$12=TRUE,J104,IF(Data!$B$13=TRUE,J140,IF(Data!$B$14=TRUE,J212,IF(Data!$B$15=TRUE,J176,J248))))))</f>
        <v>No guidance available</v>
      </c>
      <c r="K284" s="141" t="str">
        <f>IF(Data!$B$10=TRUE,K32,IF(Data!$B$11=TRUE,K68,IF(Data!$B$12=TRUE,K104,IF(Data!$B$13=TRUE,K140,IF(Data!$B$14=TRUE,K212,IF(Data!$B$15=TRUE,K176,K248))))))</f>
        <v>No guidance available</v>
      </c>
      <c r="L284" s="141" t="str">
        <f>IF(Data!$B$10=TRUE,L32,IF(Data!$B$11=TRUE,L68,IF(Data!$B$12=TRUE,L104,IF(Data!$B$13=TRUE,L140,IF(Data!$B$14=TRUE,L212,IF(Data!$B$15=TRUE,L176,L248))))))</f>
        <v>No guidance available</v>
      </c>
      <c r="M284" s="141" t="str">
        <f>IF(Data!$B$10=TRUE,M32,IF(Data!$B$11=TRUE,M68,IF(Data!$B$12=TRUE,M104,IF(Data!$B$13=TRUE,M140,IF(Data!$B$14=TRUE,M212,IF(Data!$B$15=TRUE,M176,M248))))))</f>
        <v>No guidance available</v>
      </c>
      <c r="N284" s="141" t="str">
        <f>IF(Data!$B$10=TRUE,N32,IF(Data!$B$11=TRUE,N68,IF(Data!$B$12=TRUE,N104,IF(Data!$B$13=TRUE,N140,IF(Data!$B$14=TRUE,N212,IF(Data!$B$15=TRUE,N176,N248))))))</f>
        <v>No guidance available</v>
      </c>
      <c r="O284" s="141" t="str">
        <f>IF(Data!$B$10=TRUE,O32,IF(Data!$B$11=TRUE,O68,IF(Data!$B$12=TRUE,O104,IF(Data!$B$13=TRUE,O140,IF(Data!$B$14=TRUE,O212,IF(Data!$B$15=TRUE,O176,O248))))))</f>
        <v>No guidance available</v>
      </c>
      <c r="P284" s="141" t="str">
        <f>IF(Data!$B$10=TRUE,P32,IF(Data!$B$11=TRUE,P68,IF(Data!$B$12=TRUE,P104,IF(Data!$B$13=TRUE,P140,IF(Data!$B$14=TRUE,P212,IF(Data!$B$15=TRUE,P176,P248))))))</f>
        <v>No guidance available</v>
      </c>
      <c r="Q284" s="141" t="str">
        <f>IF(Data!$B$10=TRUE,Q32,IF(Data!$B$11=TRUE,Q68,IF(Data!$B$12=TRUE,Q104,IF(Data!$B$13=TRUE,Q140,IF(Data!$B$14=TRUE,Q212,IF(Data!$B$15=TRUE,Q176,Q248))))))</f>
        <v>No guidance available</v>
      </c>
      <c r="R284" s="141" t="str">
        <f>IF(Data!$B$10=TRUE,R32,IF(Data!$B$11=TRUE,R68,IF(Data!$B$12=TRUE,R104,IF(Data!$B$13=TRUE,R140,IF(Data!$B$14=TRUE,R212,IF(Data!$B$15=TRUE,R176,R248))))))</f>
        <v>No guidance available</v>
      </c>
      <c r="S284" s="141" t="str">
        <f>IF(Data!$B$10=TRUE,S32,IF(Data!$B$11=TRUE,S68,IF(Data!$B$12=TRUE,S104,IF(Data!$B$13=TRUE,S140,IF(Data!$B$14=TRUE,S212,IF(Data!$B$15=TRUE,S176,S248))))))</f>
        <v>No guidance available</v>
      </c>
      <c r="T284" s="141" t="str">
        <f>IF(Data!$B$10=TRUE,T32,IF(Data!$B$11=TRUE,T68,IF(Data!$B$12=TRUE,T104,IF(Data!$B$13=TRUE,T140,IF(Data!$B$14=TRUE,T212,IF(Data!$B$15=TRUE,T176,T248))))))</f>
        <v>No guidance available</v>
      </c>
      <c r="U284" s="141" t="str">
        <f>IF(Data!$B$10=TRUE,U32,IF(Data!$B$11=TRUE,U68,IF(Data!$B$12=TRUE,U104,IF(Data!$B$13=TRUE,U140,IF(Data!$B$14=TRUE,U212,IF(Data!$B$15=TRUE,U176,U248))))))</f>
        <v>No guidance available</v>
      </c>
    </row>
    <row r="285" spans="1:21" x14ac:dyDescent="0.2">
      <c r="A285" s="1">
        <f t="shared" si="21"/>
        <v>29</v>
      </c>
      <c r="B285" s="47" t="s">
        <v>28</v>
      </c>
      <c r="C285" s="154" t="str">
        <f>IF(Data!B$10=TRUE,C33,IF(Data!B$11=TRUE,C69,IF(Data!B$12=TRUE,C105,IF(Data!B$13=TRUE,C141,IF(Data!B$14=TRUE,C213,IF(Data!B$15=TRUE,C177,C249))))))</f>
        <v>No guidance available</v>
      </c>
      <c r="D285" s="46">
        <f t="shared" si="20"/>
        <v>28</v>
      </c>
      <c r="E285" s="141" t="str">
        <f>IF(Data!$B$10=TRUE,E33,IF(Data!$B$11=TRUE,E69,IF(Data!$B$12=TRUE,E105,IF(Data!$B$13=TRUE,E141,IF(Data!$B$14=TRUE,E213,IF(Data!$B$15=TRUE,E177,E249))))))</f>
        <v>Year not supported</v>
      </c>
      <c r="F285" s="141" t="str">
        <f>IF(Data!$B$10=TRUE,F33,IF(Data!$B$11=TRUE,F69,IF(Data!$B$12=TRUE,F105,IF(Data!$B$13=TRUE,F141,IF(Data!$B$14=TRUE,F213,IF(Data!$B$15=TRUE,F177,F249))))))</f>
        <v>No guidance available</v>
      </c>
      <c r="G285" s="141" t="str">
        <f>IF(Data!$B$10=TRUE,G33,IF(Data!$B$11=TRUE,G69,IF(Data!$B$12=TRUE,G105,IF(Data!$B$13=TRUE,G141,IF(Data!$B$14=TRUE,G213,IF(Data!$B$15=TRUE,G177,G249))))))</f>
        <v>No guidance available</v>
      </c>
      <c r="H285" s="141" t="str">
        <f>IF(Data!$B$10=TRUE,H33,IF(Data!$B$11=TRUE,H69,IF(Data!$B$12=TRUE,H105,IF(Data!$B$13=TRUE,H141,IF(Data!$B$14=TRUE,H213,IF(Data!$B$15=TRUE,H177,H249))))))</f>
        <v>No guidance available</v>
      </c>
      <c r="I285" s="141" t="str">
        <f>IF(Data!$B$10=TRUE,I33,IF(Data!$B$11=TRUE,I69,IF(Data!$B$12=TRUE,I105,IF(Data!$B$13=TRUE,I141,IF(Data!$B$14=TRUE,I213,IF(Data!$B$15=TRUE,I177,I249))))))</f>
        <v>No guidance available</v>
      </c>
      <c r="J285" s="141" t="str">
        <f>IF(Data!$B$10=TRUE,J33,IF(Data!$B$11=TRUE,J69,IF(Data!$B$12=TRUE,J105,IF(Data!$B$13=TRUE,J141,IF(Data!$B$14=TRUE,J213,IF(Data!$B$15=TRUE,J177,J249))))))</f>
        <v>No guidance available</v>
      </c>
      <c r="K285" s="141" t="str">
        <f>IF(Data!$B$10=TRUE,K33,IF(Data!$B$11=TRUE,K69,IF(Data!$B$12=TRUE,K105,IF(Data!$B$13=TRUE,K141,IF(Data!$B$14=TRUE,K213,IF(Data!$B$15=TRUE,K177,K249))))))</f>
        <v>No guidance available</v>
      </c>
      <c r="L285" s="141" t="str">
        <f>IF(Data!$B$10=TRUE,L33,IF(Data!$B$11=TRUE,L69,IF(Data!$B$12=TRUE,L105,IF(Data!$B$13=TRUE,L141,IF(Data!$B$14=TRUE,L213,IF(Data!$B$15=TRUE,L177,L249))))))</f>
        <v>No guidance available</v>
      </c>
      <c r="M285" s="141" t="str">
        <f>IF(Data!$B$10=TRUE,M33,IF(Data!$B$11=TRUE,M69,IF(Data!$B$12=TRUE,M105,IF(Data!$B$13=TRUE,M141,IF(Data!$B$14=TRUE,M213,IF(Data!$B$15=TRUE,M177,M249))))))</f>
        <v>No guidance available</v>
      </c>
      <c r="N285" s="141" t="str">
        <f>IF(Data!$B$10=TRUE,N33,IF(Data!$B$11=TRUE,N69,IF(Data!$B$12=TRUE,N105,IF(Data!$B$13=TRUE,N141,IF(Data!$B$14=TRUE,N213,IF(Data!$B$15=TRUE,N177,N249))))))</f>
        <v>No guidance available</v>
      </c>
      <c r="O285" s="141" t="str">
        <f>IF(Data!$B$10=TRUE,O33,IF(Data!$B$11=TRUE,O69,IF(Data!$B$12=TRUE,O105,IF(Data!$B$13=TRUE,O141,IF(Data!$B$14=TRUE,O213,IF(Data!$B$15=TRUE,O177,O249))))))</f>
        <v>No guidance available</v>
      </c>
      <c r="P285" s="141" t="str">
        <f>IF(Data!$B$10=TRUE,P33,IF(Data!$B$11=TRUE,P69,IF(Data!$B$12=TRUE,P105,IF(Data!$B$13=TRUE,P141,IF(Data!$B$14=TRUE,P213,IF(Data!$B$15=TRUE,P177,P249))))))</f>
        <v>No guidance available</v>
      </c>
      <c r="Q285" s="141" t="str">
        <f>IF(Data!$B$10=TRUE,Q33,IF(Data!$B$11=TRUE,Q69,IF(Data!$B$12=TRUE,Q105,IF(Data!$B$13=TRUE,Q141,IF(Data!$B$14=TRUE,Q213,IF(Data!$B$15=TRUE,Q177,Q249))))))</f>
        <v>No guidance available</v>
      </c>
      <c r="R285" s="141" t="str">
        <f>IF(Data!$B$10=TRUE,R33,IF(Data!$B$11=TRUE,R69,IF(Data!$B$12=TRUE,R105,IF(Data!$B$13=TRUE,R141,IF(Data!$B$14=TRUE,R213,IF(Data!$B$15=TRUE,R177,R249))))))</f>
        <v>No guidance available</v>
      </c>
      <c r="S285" s="141" t="str">
        <f>IF(Data!$B$10=TRUE,S33,IF(Data!$B$11=TRUE,S69,IF(Data!$B$12=TRUE,S105,IF(Data!$B$13=TRUE,S141,IF(Data!$B$14=TRUE,S213,IF(Data!$B$15=TRUE,S177,S249))))))</f>
        <v>No guidance available</v>
      </c>
      <c r="T285" s="141" t="str">
        <f>IF(Data!$B$10=TRUE,T33,IF(Data!$B$11=TRUE,T69,IF(Data!$B$12=TRUE,T105,IF(Data!$B$13=TRUE,T141,IF(Data!$B$14=TRUE,T213,IF(Data!$B$15=TRUE,T177,T249))))))</f>
        <v>No guidance available</v>
      </c>
      <c r="U285" s="141" t="str">
        <f>IF(Data!$B$10=TRUE,U33,IF(Data!$B$11=TRUE,U69,IF(Data!$B$12=TRUE,U105,IF(Data!$B$13=TRUE,U141,IF(Data!$B$14=TRUE,U213,IF(Data!$B$15=TRUE,U177,U249))))))</f>
        <v>No guidance available</v>
      </c>
    </row>
    <row r="286" spans="1:21" x14ac:dyDescent="0.2">
      <c r="A286" s="1">
        <f t="shared" si="21"/>
        <v>30</v>
      </c>
      <c r="B286" s="47" t="s">
        <v>27</v>
      </c>
      <c r="C286" s="154" t="str">
        <f>IF(Data!B$10=TRUE,C34,IF(Data!B$11=TRUE,C70,IF(Data!B$12=TRUE,C106,IF(Data!B$13=TRUE,C142,IF(Data!B$14=TRUE,C214,IF(Data!B$15=TRUE,C178,C250))))))</f>
        <v>No guidance available</v>
      </c>
      <c r="D286" s="46">
        <f t="shared" si="20"/>
        <v>29</v>
      </c>
      <c r="E286" s="141" t="str">
        <f>IF(Data!$B$10=TRUE,E34,IF(Data!$B$11=TRUE,E70,IF(Data!$B$12=TRUE,E106,IF(Data!$B$13=TRUE,E142,IF(Data!$B$14=TRUE,E214,IF(Data!$B$15=TRUE,E178,E250))))))</f>
        <v>Year not supported</v>
      </c>
      <c r="F286" s="141" t="str">
        <f>IF(Data!$B$10=TRUE,F34,IF(Data!$B$11=TRUE,F70,IF(Data!$B$12=TRUE,F106,IF(Data!$B$13=TRUE,F142,IF(Data!$B$14=TRUE,F214,IF(Data!$B$15=TRUE,F178,F250))))))</f>
        <v>No guidance available</v>
      </c>
      <c r="G286" s="141" t="str">
        <f>IF(Data!$B$10=TRUE,G34,IF(Data!$B$11=TRUE,G70,IF(Data!$B$12=TRUE,G106,IF(Data!$B$13=TRUE,G142,IF(Data!$B$14=TRUE,G214,IF(Data!$B$15=TRUE,G178,G250))))))</f>
        <v>No guidance available</v>
      </c>
      <c r="H286" s="141" t="str">
        <f>IF(Data!$B$10=TRUE,H34,IF(Data!$B$11=TRUE,H70,IF(Data!$B$12=TRUE,H106,IF(Data!$B$13=TRUE,H142,IF(Data!$B$14=TRUE,H214,IF(Data!$B$15=TRUE,H178,H250))))))</f>
        <v>No guidance available</v>
      </c>
      <c r="I286" s="141" t="str">
        <f>IF(Data!$B$10=TRUE,I34,IF(Data!$B$11=TRUE,I70,IF(Data!$B$12=TRUE,I106,IF(Data!$B$13=TRUE,I142,IF(Data!$B$14=TRUE,I214,IF(Data!$B$15=TRUE,I178,I250))))))</f>
        <v>No guidance available</v>
      </c>
      <c r="J286" s="141" t="str">
        <f>IF(Data!$B$10=TRUE,J34,IF(Data!$B$11=TRUE,J70,IF(Data!$B$12=TRUE,J106,IF(Data!$B$13=TRUE,J142,IF(Data!$B$14=TRUE,J214,IF(Data!$B$15=TRUE,J178,J250))))))</f>
        <v>No guidance available</v>
      </c>
      <c r="K286" s="141" t="str">
        <f>IF(Data!$B$10=TRUE,K34,IF(Data!$B$11=TRUE,K70,IF(Data!$B$12=TRUE,K106,IF(Data!$B$13=TRUE,K142,IF(Data!$B$14=TRUE,K214,IF(Data!$B$15=TRUE,K178,K250))))))</f>
        <v>No guidance available</v>
      </c>
      <c r="L286" s="141" t="str">
        <f>IF(Data!$B$10=TRUE,L34,IF(Data!$B$11=TRUE,L70,IF(Data!$B$12=TRUE,L106,IF(Data!$B$13=TRUE,L142,IF(Data!$B$14=TRUE,L214,IF(Data!$B$15=TRUE,L178,L250))))))</f>
        <v>No guidance available</v>
      </c>
      <c r="M286" s="141" t="str">
        <f>IF(Data!$B$10=TRUE,M34,IF(Data!$B$11=TRUE,M70,IF(Data!$B$12=TRUE,M106,IF(Data!$B$13=TRUE,M142,IF(Data!$B$14=TRUE,M214,IF(Data!$B$15=TRUE,M178,M250))))))</f>
        <v>No guidance available</v>
      </c>
      <c r="N286" s="141" t="str">
        <f>IF(Data!$B$10=TRUE,N34,IF(Data!$B$11=TRUE,N70,IF(Data!$B$12=TRUE,N106,IF(Data!$B$13=TRUE,N142,IF(Data!$B$14=TRUE,N214,IF(Data!$B$15=TRUE,N178,N250))))))</f>
        <v>No guidance available</v>
      </c>
      <c r="O286" s="141" t="str">
        <f>IF(Data!$B$10=TRUE,O34,IF(Data!$B$11=TRUE,O70,IF(Data!$B$12=TRUE,O106,IF(Data!$B$13=TRUE,O142,IF(Data!$B$14=TRUE,O214,IF(Data!$B$15=TRUE,O178,O250))))))</f>
        <v>No guidance available</v>
      </c>
      <c r="P286" s="141" t="str">
        <f>IF(Data!$B$10=TRUE,P34,IF(Data!$B$11=TRUE,P70,IF(Data!$B$12=TRUE,P106,IF(Data!$B$13=TRUE,P142,IF(Data!$B$14=TRUE,P214,IF(Data!$B$15=TRUE,P178,P250))))))</f>
        <v>No guidance available</v>
      </c>
      <c r="Q286" s="141" t="str">
        <f>IF(Data!$B$10=TRUE,Q34,IF(Data!$B$11=TRUE,Q70,IF(Data!$B$12=TRUE,Q106,IF(Data!$B$13=TRUE,Q142,IF(Data!$B$14=TRUE,Q214,IF(Data!$B$15=TRUE,Q178,Q250))))))</f>
        <v>No guidance available</v>
      </c>
      <c r="R286" s="141" t="str">
        <f>IF(Data!$B$10=TRUE,R34,IF(Data!$B$11=TRUE,R70,IF(Data!$B$12=TRUE,R106,IF(Data!$B$13=TRUE,R142,IF(Data!$B$14=TRUE,R214,IF(Data!$B$15=TRUE,R178,R250))))))</f>
        <v>No guidance available</v>
      </c>
      <c r="S286" s="141" t="str">
        <f>IF(Data!$B$10=TRUE,S34,IF(Data!$B$11=TRUE,S70,IF(Data!$B$12=TRUE,S106,IF(Data!$B$13=TRUE,S142,IF(Data!$B$14=TRUE,S214,IF(Data!$B$15=TRUE,S178,S250))))))</f>
        <v>No guidance available</v>
      </c>
      <c r="T286" s="141" t="str">
        <f>IF(Data!$B$10=TRUE,T34,IF(Data!$B$11=TRUE,T70,IF(Data!$B$12=TRUE,T106,IF(Data!$B$13=TRUE,T142,IF(Data!$B$14=TRUE,T214,IF(Data!$B$15=TRUE,T178,T250))))))</f>
        <v>No guidance available</v>
      </c>
      <c r="U286" s="141" t="str">
        <f>IF(Data!$B$10=TRUE,U34,IF(Data!$B$11=TRUE,U70,IF(Data!$B$12=TRUE,U106,IF(Data!$B$13=TRUE,U142,IF(Data!$B$14=TRUE,U214,IF(Data!$B$15=TRUE,U178,U250))))))</f>
        <v>No guidance available</v>
      </c>
    </row>
    <row r="287" spans="1:21" x14ac:dyDescent="0.2">
      <c r="A287" s="1">
        <f t="shared" si="21"/>
        <v>31</v>
      </c>
      <c r="B287" s="47" t="s">
        <v>757</v>
      </c>
      <c r="C287" s="154" t="str">
        <f>IF(Data!B$10=TRUE,C35,IF(Data!B$11=TRUE,C71,IF(Data!B$12=TRUE,C107,IF(Data!B$13=TRUE,C143,IF(Data!B$14=TRUE,C215,IF(Data!B$15=TRUE,C179,C251))))))</f>
        <v>No guidance available</v>
      </c>
      <c r="D287" s="46">
        <f t="shared" si="20"/>
        <v>30</v>
      </c>
      <c r="E287" s="141" t="str">
        <f>IF(Data!$B$10=TRUE,E35,IF(Data!$B$11=TRUE,E71,IF(Data!$B$12=TRUE,E107,IF(Data!$B$13=TRUE,E143,IF(Data!$B$14=TRUE,E215,IF(Data!$B$15=TRUE,E179,E251))))))</f>
        <v>Year not supported</v>
      </c>
      <c r="F287" s="141" t="str">
        <f>IF(Data!$B$10=TRUE,F35,IF(Data!$B$11=TRUE,F71,IF(Data!$B$12=TRUE,F107,IF(Data!$B$13=TRUE,F143,IF(Data!$B$14=TRUE,F215,IF(Data!$B$15=TRUE,F179,F251))))))</f>
        <v>No guidance available</v>
      </c>
      <c r="G287" s="141" t="str">
        <f>IF(Data!$B$10=TRUE,G35,IF(Data!$B$11=TRUE,G71,IF(Data!$B$12=TRUE,G107,IF(Data!$B$13=TRUE,G143,IF(Data!$B$14=TRUE,G215,IF(Data!$B$15=TRUE,G179,G251))))))</f>
        <v>No guidance available</v>
      </c>
      <c r="H287" s="141" t="str">
        <f>IF(Data!$B$10=TRUE,H35,IF(Data!$B$11=TRUE,H71,IF(Data!$B$12=TRUE,H107,IF(Data!$B$13=TRUE,H143,IF(Data!$B$14=TRUE,H215,IF(Data!$B$15=TRUE,H179,H251))))))</f>
        <v>No guidance available</v>
      </c>
      <c r="I287" s="141" t="str">
        <f>IF(Data!$B$10=TRUE,I35,IF(Data!$B$11=TRUE,I71,IF(Data!$B$12=TRUE,I107,IF(Data!$B$13=TRUE,I143,IF(Data!$B$14=TRUE,I215,IF(Data!$B$15=TRUE,I179,I251))))))</f>
        <v>No guidance available</v>
      </c>
      <c r="J287" s="141" t="str">
        <f>IF(Data!$B$10=TRUE,J35,IF(Data!$B$11=TRUE,J71,IF(Data!$B$12=TRUE,J107,IF(Data!$B$13=TRUE,J143,IF(Data!$B$14=TRUE,J215,IF(Data!$B$15=TRUE,J179,J251))))))</f>
        <v>No guidance available</v>
      </c>
      <c r="K287" s="141" t="str">
        <f>IF(Data!$B$10=TRUE,K35,IF(Data!$B$11=TRUE,K71,IF(Data!$B$12=TRUE,K107,IF(Data!$B$13=TRUE,K143,IF(Data!$B$14=TRUE,K215,IF(Data!$B$15=TRUE,K179,K251))))))</f>
        <v>No guidance available</v>
      </c>
      <c r="L287" s="141" t="str">
        <f>IF(Data!$B$10=TRUE,L35,IF(Data!$B$11=TRUE,L71,IF(Data!$B$12=TRUE,L107,IF(Data!$B$13=TRUE,L143,IF(Data!$B$14=TRUE,L215,IF(Data!$B$15=TRUE,L179,L251))))))</f>
        <v>No guidance available</v>
      </c>
      <c r="M287" s="141" t="str">
        <f>IF(Data!$B$10=TRUE,M35,IF(Data!$B$11=TRUE,M71,IF(Data!$B$12=TRUE,M107,IF(Data!$B$13=TRUE,M143,IF(Data!$B$14=TRUE,M215,IF(Data!$B$15=TRUE,M179,M251))))))</f>
        <v>No guidance available</v>
      </c>
      <c r="N287" s="141" t="str">
        <f>IF(Data!$B$10=TRUE,N35,IF(Data!$B$11=TRUE,N71,IF(Data!$B$12=TRUE,N107,IF(Data!$B$13=TRUE,N143,IF(Data!$B$14=TRUE,N215,IF(Data!$B$15=TRUE,N179,N251))))))</f>
        <v>No guidance available</v>
      </c>
      <c r="O287" s="141" t="str">
        <f>IF(Data!$B$10=TRUE,O35,IF(Data!$B$11=TRUE,O71,IF(Data!$B$12=TRUE,O107,IF(Data!$B$13=TRUE,O143,IF(Data!$B$14=TRUE,O215,IF(Data!$B$15=TRUE,O179,O251))))))</f>
        <v>No guidance available</v>
      </c>
      <c r="P287" s="141" t="str">
        <f>IF(Data!$B$10=TRUE,P35,IF(Data!$B$11=TRUE,P71,IF(Data!$B$12=TRUE,P107,IF(Data!$B$13=TRUE,P143,IF(Data!$B$14=TRUE,P215,IF(Data!$B$15=TRUE,P179,P251))))))</f>
        <v>No guidance available</v>
      </c>
      <c r="Q287" s="141" t="str">
        <f>IF(Data!$B$10=TRUE,Q35,IF(Data!$B$11=TRUE,Q71,IF(Data!$B$12=TRUE,Q107,IF(Data!$B$13=TRUE,Q143,IF(Data!$B$14=TRUE,Q215,IF(Data!$B$15=TRUE,Q179,Q251))))))</f>
        <v>No guidance available</v>
      </c>
      <c r="R287" s="141" t="str">
        <f>IF(Data!$B$10=TRUE,R35,IF(Data!$B$11=TRUE,R71,IF(Data!$B$12=TRUE,R107,IF(Data!$B$13=TRUE,R143,IF(Data!$B$14=TRUE,R215,IF(Data!$B$15=TRUE,R179,R251))))))</f>
        <v>No guidance available</v>
      </c>
      <c r="S287" s="141" t="str">
        <f>IF(Data!$B$10=TRUE,S35,IF(Data!$B$11=TRUE,S71,IF(Data!$B$12=TRUE,S107,IF(Data!$B$13=TRUE,S143,IF(Data!$B$14=TRUE,S215,IF(Data!$B$15=TRUE,S179,S251))))))</f>
        <v>No guidance available</v>
      </c>
      <c r="T287" s="141" t="str">
        <f>IF(Data!$B$10=TRUE,T35,IF(Data!$B$11=TRUE,T71,IF(Data!$B$12=TRUE,T107,IF(Data!$B$13=TRUE,T143,IF(Data!$B$14=TRUE,T215,IF(Data!$B$15=TRUE,T179,T251))))))</f>
        <v>No guidance available</v>
      </c>
      <c r="U287" s="141" t="str">
        <f>IF(Data!$B$10=TRUE,U35,IF(Data!$B$11=TRUE,U71,IF(Data!$B$12=TRUE,U107,IF(Data!$B$13=TRUE,U143,IF(Data!$B$14=TRUE,U215,IF(Data!$B$15=TRUE,U179,U251))))))</f>
        <v>No guidance available</v>
      </c>
    </row>
    <row r="288" spans="1:21" x14ac:dyDescent="0.2">
      <c r="A288" s="1">
        <f t="shared" si="21"/>
        <v>32</v>
      </c>
      <c r="B288" s="40" t="s">
        <v>678</v>
      </c>
      <c r="C288" s="154" t="str">
        <f>IF(Data!B$10=TRUE,C36,IF(Data!B$11=TRUE,C72,IF(Data!B$12=TRUE,C108,IF(Data!B$13=TRUE,C144,IF(Data!B$14=TRUE,C216,IF(Data!B$15=TRUE,C180,C252))))))</f>
        <v>No guidance available</v>
      </c>
      <c r="D288" s="46">
        <f t="shared" si="20"/>
        <v>31</v>
      </c>
      <c r="E288" s="141" t="str">
        <f>IF(Data!$B$10=TRUE,E36,IF(Data!$B$11=TRUE,E72,IF(Data!$B$12=TRUE,E108,IF(Data!$B$13=TRUE,E144,IF(Data!$B$14=TRUE,E216,IF(Data!$B$15=TRUE,E180,E252))))))</f>
        <v>Year not supported</v>
      </c>
      <c r="F288" s="141" t="str">
        <f>IF(Data!$B$10=TRUE,F36,IF(Data!$B$11=TRUE,F72,IF(Data!$B$12=TRUE,F108,IF(Data!$B$13=TRUE,F144,IF(Data!$B$14=TRUE,F216,IF(Data!$B$15=TRUE,F180,F252))))))</f>
        <v>No guidance available</v>
      </c>
      <c r="G288" s="141" t="str">
        <f>IF(Data!$B$10=TRUE,G36,IF(Data!$B$11=TRUE,G72,IF(Data!$B$12=TRUE,G108,IF(Data!$B$13=TRUE,G144,IF(Data!$B$14=TRUE,G216,IF(Data!$B$15=TRUE,G180,G252))))))</f>
        <v>No guidance available</v>
      </c>
      <c r="H288" s="141" t="str">
        <f>IF(Data!$B$10=TRUE,H36,IF(Data!$B$11=TRUE,H72,IF(Data!$B$12=TRUE,H108,IF(Data!$B$13=TRUE,H144,IF(Data!$B$14=TRUE,H216,IF(Data!$B$15=TRUE,H180,H252))))))</f>
        <v>No guidance available</v>
      </c>
      <c r="I288" s="141" t="str">
        <f>IF(Data!$B$10=TRUE,I36,IF(Data!$B$11=TRUE,I72,IF(Data!$B$12=TRUE,I108,IF(Data!$B$13=TRUE,I144,IF(Data!$B$14=TRUE,I216,IF(Data!$B$15=TRUE,I180,I252))))))</f>
        <v>No guidance available</v>
      </c>
      <c r="J288" s="141" t="str">
        <f>IF(Data!$B$10=TRUE,J36,IF(Data!$B$11=TRUE,J72,IF(Data!$B$12=TRUE,J108,IF(Data!$B$13=TRUE,J144,IF(Data!$B$14=TRUE,J216,IF(Data!$B$15=TRUE,J180,J252))))))</f>
        <v>No guidance available</v>
      </c>
      <c r="K288" s="141" t="str">
        <f>IF(Data!$B$10=TRUE,K36,IF(Data!$B$11=TRUE,K72,IF(Data!$B$12=TRUE,K108,IF(Data!$B$13=TRUE,K144,IF(Data!$B$14=TRUE,K216,IF(Data!$B$15=TRUE,K180,K252))))))</f>
        <v>No guidance available</v>
      </c>
      <c r="L288" s="141" t="str">
        <f>IF(Data!$B$10=TRUE,L36,IF(Data!$B$11=TRUE,L72,IF(Data!$B$12=TRUE,L108,IF(Data!$B$13=TRUE,L144,IF(Data!$B$14=TRUE,L216,IF(Data!$B$15=TRUE,L180,L252))))))</f>
        <v>No guidance available</v>
      </c>
      <c r="M288" s="141" t="str">
        <f>IF(Data!$B$10=TRUE,M36,IF(Data!$B$11=TRUE,M72,IF(Data!$B$12=TRUE,M108,IF(Data!$B$13=TRUE,M144,IF(Data!$B$14=TRUE,M216,IF(Data!$B$15=TRUE,M180,M252))))))</f>
        <v>No guidance available</v>
      </c>
      <c r="N288" s="141" t="str">
        <f>IF(Data!$B$10=TRUE,N36,IF(Data!$B$11=TRUE,N72,IF(Data!$B$12=TRUE,N108,IF(Data!$B$13=TRUE,N144,IF(Data!$B$14=TRUE,N216,IF(Data!$B$15=TRUE,N180,N252))))))</f>
        <v>No guidance available</v>
      </c>
      <c r="O288" s="141" t="str">
        <f>IF(Data!$B$10=TRUE,O36,IF(Data!$B$11=TRUE,O72,IF(Data!$B$12=TRUE,O108,IF(Data!$B$13=TRUE,O144,IF(Data!$B$14=TRUE,O216,IF(Data!$B$15=TRUE,O180,O252))))))</f>
        <v>No guidance available</v>
      </c>
      <c r="P288" s="141" t="str">
        <f>IF(Data!$B$10=TRUE,P36,IF(Data!$B$11=TRUE,P72,IF(Data!$B$12=TRUE,P108,IF(Data!$B$13=TRUE,P144,IF(Data!$B$14=TRUE,P216,IF(Data!$B$15=TRUE,P180,P252))))))</f>
        <v>No guidance available</v>
      </c>
      <c r="Q288" s="141" t="str">
        <f>IF(Data!$B$10=TRUE,Q36,IF(Data!$B$11=TRUE,Q72,IF(Data!$B$12=TRUE,Q108,IF(Data!$B$13=TRUE,Q144,IF(Data!$B$14=TRUE,Q216,IF(Data!$B$15=TRUE,Q180,Q252))))))</f>
        <v>No guidance available</v>
      </c>
      <c r="R288" s="141" t="str">
        <f>IF(Data!$B$10=TRUE,R36,IF(Data!$B$11=TRUE,R72,IF(Data!$B$12=TRUE,R108,IF(Data!$B$13=TRUE,R144,IF(Data!$B$14=TRUE,R216,IF(Data!$B$15=TRUE,R180,R252))))))</f>
        <v>No guidance available</v>
      </c>
      <c r="S288" s="141" t="str">
        <f>IF(Data!$B$10=TRUE,S36,IF(Data!$B$11=TRUE,S72,IF(Data!$B$12=TRUE,S108,IF(Data!$B$13=TRUE,S144,IF(Data!$B$14=TRUE,S216,IF(Data!$B$15=TRUE,S180,S252))))))</f>
        <v>No guidance available</v>
      </c>
      <c r="T288" s="141" t="str">
        <f>IF(Data!$B$10=TRUE,T36,IF(Data!$B$11=TRUE,T72,IF(Data!$B$12=TRUE,T108,IF(Data!$B$13=TRUE,T144,IF(Data!$B$14=TRUE,T216,IF(Data!$B$15=TRUE,T180,T252))))))</f>
        <v>No guidance available</v>
      </c>
      <c r="U288" s="141" t="str">
        <f>IF(Data!$B$10=TRUE,U36,IF(Data!$B$11=TRUE,U72,IF(Data!$B$12=TRUE,U108,IF(Data!$B$13=TRUE,U144,IF(Data!$B$14=TRUE,U216,IF(Data!$B$15=TRUE,U180,U252))))))</f>
        <v>No guidance available</v>
      </c>
    </row>
    <row r="289" spans="1:21" x14ac:dyDescent="0.2">
      <c r="A289" s="1">
        <f t="shared" si="21"/>
        <v>33</v>
      </c>
      <c r="B289" s="41" t="s">
        <v>679</v>
      </c>
      <c r="C289" s="154" t="str">
        <f>IF(Data!B$10=TRUE,C37,IF(Data!B$11=TRUE,C73,IF(Data!B$12=TRUE,C109,IF(Data!B$13=TRUE,C145,IF(Data!B$14=TRUE,C217,IF(Data!B$15=TRUE,C181,C253))))))</f>
        <v>No guidance available</v>
      </c>
      <c r="D289" s="46">
        <f t="shared" si="20"/>
        <v>32</v>
      </c>
      <c r="E289" s="141" t="str">
        <f>IF(Data!$B$10=TRUE,E37,IF(Data!$B$11=TRUE,E73,IF(Data!$B$12=TRUE,E109,IF(Data!$B$13=TRUE,E145,IF(Data!$B$14=TRUE,E217,IF(Data!$B$15=TRUE,E181,E253))))))</f>
        <v>Year not supported</v>
      </c>
      <c r="F289" s="141" t="str">
        <f>IF(Data!$B$10=TRUE,F37,IF(Data!$B$11=TRUE,F73,IF(Data!$B$12=TRUE,F109,IF(Data!$B$13=TRUE,F145,IF(Data!$B$14=TRUE,F217,IF(Data!$B$15=TRUE,F181,F253))))))</f>
        <v>No guidance available</v>
      </c>
      <c r="G289" s="141" t="str">
        <f>IF(Data!$B$10=TRUE,G37,IF(Data!$B$11=TRUE,G73,IF(Data!$B$12=TRUE,G109,IF(Data!$B$13=TRUE,G145,IF(Data!$B$14=TRUE,G217,IF(Data!$B$15=TRUE,G181,G253))))))</f>
        <v>No guidance available</v>
      </c>
      <c r="H289" s="141" t="str">
        <f>IF(Data!$B$10=TRUE,H37,IF(Data!$B$11=TRUE,H73,IF(Data!$B$12=TRUE,H109,IF(Data!$B$13=TRUE,H145,IF(Data!$B$14=TRUE,H217,IF(Data!$B$15=TRUE,H181,H253))))))</f>
        <v>No guidance available</v>
      </c>
      <c r="I289" s="141" t="str">
        <f>IF(Data!$B$10=TRUE,I37,IF(Data!$B$11=TRUE,I73,IF(Data!$B$12=TRUE,I109,IF(Data!$B$13=TRUE,I145,IF(Data!$B$14=TRUE,I217,IF(Data!$B$15=TRUE,I181,I253))))))</f>
        <v>No guidance available</v>
      </c>
      <c r="J289" s="141" t="str">
        <f>IF(Data!$B$10=TRUE,J37,IF(Data!$B$11=TRUE,J73,IF(Data!$B$12=TRUE,J109,IF(Data!$B$13=TRUE,J145,IF(Data!$B$14=TRUE,J217,IF(Data!$B$15=TRUE,J181,J253))))))</f>
        <v>No guidance available</v>
      </c>
      <c r="K289" s="141" t="str">
        <f>IF(Data!$B$10=TRUE,K37,IF(Data!$B$11=TRUE,K73,IF(Data!$B$12=TRUE,K109,IF(Data!$B$13=TRUE,K145,IF(Data!$B$14=TRUE,K217,IF(Data!$B$15=TRUE,K181,K253))))))</f>
        <v>No guidance available</v>
      </c>
      <c r="L289" s="141" t="str">
        <f>IF(Data!$B$10=TRUE,L37,IF(Data!$B$11=TRUE,L73,IF(Data!$B$12=TRUE,L109,IF(Data!$B$13=TRUE,L145,IF(Data!$B$14=TRUE,L217,IF(Data!$B$15=TRUE,L181,L253))))))</f>
        <v>No guidance available</v>
      </c>
      <c r="M289" s="141" t="str">
        <f>IF(Data!$B$10=TRUE,M37,IF(Data!$B$11=TRUE,M73,IF(Data!$B$12=TRUE,M109,IF(Data!$B$13=TRUE,M145,IF(Data!$B$14=TRUE,M217,IF(Data!$B$15=TRUE,M181,M253))))))</f>
        <v>No guidance available</v>
      </c>
      <c r="N289" s="141" t="str">
        <f>IF(Data!$B$10=TRUE,N37,IF(Data!$B$11=TRUE,N73,IF(Data!$B$12=TRUE,N109,IF(Data!$B$13=TRUE,N145,IF(Data!$B$14=TRUE,N217,IF(Data!$B$15=TRUE,N181,N253))))))</f>
        <v>No guidance available</v>
      </c>
      <c r="O289" s="141" t="str">
        <f>IF(Data!$B$10=TRUE,O37,IF(Data!$B$11=TRUE,O73,IF(Data!$B$12=TRUE,O109,IF(Data!$B$13=TRUE,O145,IF(Data!$B$14=TRUE,O217,IF(Data!$B$15=TRUE,O181,O253))))))</f>
        <v>No guidance available</v>
      </c>
      <c r="P289" s="141" t="str">
        <f>IF(Data!$B$10=TRUE,P37,IF(Data!$B$11=TRUE,P73,IF(Data!$B$12=TRUE,P109,IF(Data!$B$13=TRUE,P145,IF(Data!$B$14=TRUE,P217,IF(Data!$B$15=TRUE,P181,P253))))))</f>
        <v>No guidance available</v>
      </c>
      <c r="Q289" s="141" t="str">
        <f>IF(Data!$B$10=TRUE,Q37,IF(Data!$B$11=TRUE,Q73,IF(Data!$B$12=TRUE,Q109,IF(Data!$B$13=TRUE,Q145,IF(Data!$B$14=TRUE,Q217,IF(Data!$B$15=TRUE,Q181,Q253))))))</f>
        <v>No guidance available</v>
      </c>
      <c r="R289" s="141" t="str">
        <f>IF(Data!$B$10=TRUE,R37,IF(Data!$B$11=TRUE,R73,IF(Data!$B$12=TRUE,R109,IF(Data!$B$13=TRUE,R145,IF(Data!$B$14=TRUE,R217,IF(Data!$B$15=TRUE,R181,R253))))))</f>
        <v>No guidance available</v>
      </c>
      <c r="S289" s="141" t="str">
        <f>IF(Data!$B$10=TRUE,S37,IF(Data!$B$11=TRUE,S73,IF(Data!$B$12=TRUE,S109,IF(Data!$B$13=TRUE,S145,IF(Data!$B$14=TRUE,S217,IF(Data!$B$15=TRUE,S181,S253))))))</f>
        <v>No guidance available</v>
      </c>
      <c r="T289" s="141" t="str">
        <f>IF(Data!$B$10=TRUE,T37,IF(Data!$B$11=TRUE,T73,IF(Data!$B$12=TRUE,T109,IF(Data!$B$13=TRUE,T145,IF(Data!$B$14=TRUE,T217,IF(Data!$B$15=TRUE,T181,T253))))))</f>
        <v>No guidance available</v>
      </c>
      <c r="U289" s="141" t="str">
        <f>IF(Data!$B$10=TRUE,U37,IF(Data!$B$11=TRUE,U73,IF(Data!$B$12=TRUE,U109,IF(Data!$B$13=TRUE,U145,IF(Data!$B$14=TRUE,U217,IF(Data!$B$15=TRUE,U181,U253))))))</f>
        <v>No guidance available</v>
      </c>
    </row>
    <row r="290" spans="1:21" x14ac:dyDescent="0.2">
      <c r="A290" s="1">
        <f t="shared" si="21"/>
        <v>34</v>
      </c>
      <c r="B290" s="41" t="s">
        <v>680</v>
      </c>
      <c r="C290" s="139"/>
      <c r="D290" s="46">
        <f t="shared" si="20"/>
        <v>33</v>
      </c>
      <c r="E290" s="139"/>
      <c r="F290" s="139"/>
      <c r="G290" s="139"/>
      <c r="H290" s="139"/>
      <c r="I290" s="139"/>
      <c r="J290" s="139"/>
      <c r="K290" s="139"/>
      <c r="L290" s="139"/>
      <c r="M290" s="139"/>
      <c r="N290" s="139"/>
      <c r="O290" s="139"/>
      <c r="P290" s="139"/>
      <c r="Q290" s="139"/>
      <c r="R290" s="139"/>
      <c r="S290" s="139"/>
      <c r="T290" s="733"/>
      <c r="U290" s="748"/>
    </row>
    <row r="291" spans="1:21" x14ac:dyDescent="0.2">
      <c r="A291" s="1">
        <f t="shared" si="21"/>
        <v>35</v>
      </c>
      <c r="B291" s="41" t="s">
        <v>105</v>
      </c>
      <c r="C291" s="154" t="str">
        <f>IF(Data!B$10=TRUE,C39,IF(Data!B$11=TRUE,C75,IF(Data!B$12=TRUE,C111,IF(Data!B$13=TRUE,C147,IF(Data!B$14=TRUE,C219,IF(Data!B$15=TRUE,C183,C255))))))</f>
        <v>No guidance available</v>
      </c>
      <c r="D291" s="46">
        <f t="shared" si="20"/>
        <v>34</v>
      </c>
      <c r="E291" s="141" t="str">
        <f>IF(Data!$B$10=TRUE,E39,IF(Data!$B$11=TRUE,E75,IF(Data!$B$12=TRUE,E111,IF(Data!$B$13=TRUE,E147,IF(Data!$B$14=TRUE,E219,IF(Data!$B$15=TRUE,E183,E255))))))</f>
        <v>Year not supported</v>
      </c>
      <c r="F291" s="141" t="str">
        <f>IF(Data!$B$10=TRUE,F39,IF(Data!$B$11=TRUE,F75,IF(Data!$B$12=TRUE,F111,IF(Data!$B$13=TRUE,F147,IF(Data!$B$14=TRUE,F219,IF(Data!$B$15=TRUE,F183,F255))))))</f>
        <v>No guidance available</v>
      </c>
      <c r="G291" s="141" t="str">
        <f>IF(Data!$B$10=TRUE,G39,IF(Data!$B$11=TRUE,G75,IF(Data!$B$12=TRUE,G111,IF(Data!$B$13=TRUE,G147,IF(Data!$B$14=TRUE,G219,IF(Data!$B$15=TRUE,G183,G255))))))</f>
        <v>No guidance available</v>
      </c>
      <c r="H291" s="141" t="str">
        <f>IF(Data!$B$10=TRUE,H39,IF(Data!$B$11=TRUE,H75,IF(Data!$B$12=TRUE,H111,IF(Data!$B$13=TRUE,H147,IF(Data!$B$14=TRUE,H219,IF(Data!$B$15=TRUE,H183,H255))))))</f>
        <v>No guidance available</v>
      </c>
      <c r="I291" s="141" t="str">
        <f>IF(Data!$B$10=TRUE,I39,IF(Data!$B$11=TRUE,I75,IF(Data!$B$12=TRUE,I111,IF(Data!$B$13=TRUE,I147,IF(Data!$B$14=TRUE,I219,IF(Data!$B$15=TRUE,I183,I255))))))</f>
        <v>No guidance available</v>
      </c>
      <c r="J291" s="141" t="str">
        <f>IF(Data!$B$10=TRUE,J39,IF(Data!$B$11=TRUE,J75,IF(Data!$B$12=TRUE,J111,IF(Data!$B$13=TRUE,J147,IF(Data!$B$14=TRUE,J219,IF(Data!$B$15=TRUE,J183,J255))))))</f>
        <v>No guidance available</v>
      </c>
      <c r="K291" s="141" t="str">
        <f>IF(Data!$B$10=TRUE,K39,IF(Data!$B$11=TRUE,K75,IF(Data!$B$12=TRUE,K111,IF(Data!$B$13=TRUE,K147,IF(Data!$B$14=TRUE,K219,IF(Data!$B$15=TRUE,K183,K255))))))</f>
        <v>No guidance available</v>
      </c>
      <c r="L291" s="141" t="str">
        <f>IF(Data!$B$10=TRUE,L39,IF(Data!$B$11=TRUE,L75,IF(Data!$B$12=TRUE,L111,IF(Data!$B$13=TRUE,L147,IF(Data!$B$14=TRUE,L219,IF(Data!$B$15=TRUE,L183,L255))))))</f>
        <v>No guidance available</v>
      </c>
      <c r="M291" s="141" t="str">
        <f>IF(Data!$B$10=TRUE,M39,IF(Data!$B$11=TRUE,M75,IF(Data!$B$12=TRUE,M111,IF(Data!$B$13=TRUE,M147,IF(Data!$B$14=TRUE,M219,IF(Data!$B$15=TRUE,M183,M255))))))</f>
        <v>No guidance available</v>
      </c>
      <c r="N291" s="141" t="str">
        <f>IF(Data!$B$10=TRUE,N39,IF(Data!$B$11=TRUE,N75,IF(Data!$B$12=TRUE,N111,IF(Data!$B$13=TRUE,N147,IF(Data!$B$14=TRUE,N219,IF(Data!$B$15=TRUE,N183,N255))))))</f>
        <v>No guidance available</v>
      </c>
      <c r="O291" s="141" t="str">
        <f>IF(Data!$B$10=TRUE,O39,IF(Data!$B$11=TRUE,O75,IF(Data!$B$12=TRUE,O111,IF(Data!$B$13=TRUE,O147,IF(Data!$B$14=TRUE,O219,IF(Data!$B$15=TRUE,O183,O255))))))</f>
        <v>No guidance available</v>
      </c>
      <c r="P291" s="141" t="str">
        <f>IF(Data!$B$10=TRUE,P39,IF(Data!$B$11=TRUE,P75,IF(Data!$B$12=TRUE,P111,IF(Data!$B$13=TRUE,P147,IF(Data!$B$14=TRUE,P219,IF(Data!$B$15=TRUE,P183,P255))))))</f>
        <v>No guidance available</v>
      </c>
      <c r="Q291" s="141" t="str">
        <f>IF(Data!$B$10=TRUE,Q39,IF(Data!$B$11=TRUE,Q75,IF(Data!$B$12=TRUE,Q111,IF(Data!$B$13=TRUE,Q147,IF(Data!$B$14=TRUE,Q219,IF(Data!$B$15=TRUE,Q183,Q255))))))</f>
        <v>No guidance available</v>
      </c>
      <c r="R291" s="141" t="str">
        <f>IF(Data!$B$10=TRUE,R39,IF(Data!$B$11=TRUE,R75,IF(Data!$B$12=TRUE,R111,IF(Data!$B$13=TRUE,R147,IF(Data!$B$14=TRUE,R219,IF(Data!$B$15=TRUE,R183,R255))))))</f>
        <v>No guidance available</v>
      </c>
      <c r="S291" s="141" t="str">
        <f>IF(Data!$B$10=TRUE,S39,IF(Data!$B$11=TRUE,S75,IF(Data!$B$12=TRUE,S111,IF(Data!$B$13=TRUE,S147,IF(Data!$B$14=TRUE,S219,IF(Data!$B$15=TRUE,S183,S255))))))</f>
        <v>No guidance available</v>
      </c>
      <c r="T291" s="141" t="str">
        <f>IF(Data!$B$10=TRUE,T39,IF(Data!$B$11=TRUE,T75,IF(Data!$B$12=TRUE,T111,IF(Data!$B$13=TRUE,T147,IF(Data!$B$14=TRUE,T219,IF(Data!$B$15=TRUE,T183,T255))))))</f>
        <v>No guidance available</v>
      </c>
      <c r="U291" s="141" t="str">
        <f>IF(Data!$B$10=TRUE,U39,IF(Data!$B$11=TRUE,U75,IF(Data!$B$12=TRUE,U111,IF(Data!$B$13=TRUE,U147,IF(Data!$B$14=TRUE,U219,IF(Data!$B$15=TRUE,U183,U255))))))</f>
        <v>No guidance available</v>
      </c>
    </row>
    <row r="292" spans="1:21" x14ac:dyDescent="0.2">
      <c r="A292" s="1">
        <f t="shared" si="21"/>
        <v>36</v>
      </c>
      <c r="B292" s="41" t="s">
        <v>331</v>
      </c>
      <c r="C292" s="141" t="str">
        <f>HLOOKUP($C$2,E257:T295,$A292,FALSE)</f>
        <v>8903, Ln 25</v>
      </c>
      <c r="D292" s="46"/>
      <c r="E292" s="141" t="s">
        <v>702</v>
      </c>
      <c r="F292" s="141" t="s">
        <v>687</v>
      </c>
      <c r="G292" s="141" t="s">
        <v>332</v>
      </c>
      <c r="H292" s="141" t="s">
        <v>332</v>
      </c>
      <c r="I292" s="141" t="s">
        <v>333</v>
      </c>
      <c r="J292" s="141" t="s">
        <v>333</v>
      </c>
      <c r="K292" s="141" t="s">
        <v>333</v>
      </c>
      <c r="L292" s="141" t="s">
        <v>333</v>
      </c>
      <c r="M292" s="513" t="s">
        <v>32</v>
      </c>
      <c r="N292" s="513" t="s">
        <v>32</v>
      </c>
      <c r="O292" s="513" t="s">
        <v>32</v>
      </c>
      <c r="P292" s="513" t="s">
        <v>32</v>
      </c>
      <c r="Q292" s="513" t="s">
        <v>32</v>
      </c>
      <c r="R292" s="513" t="s">
        <v>32</v>
      </c>
      <c r="S292" s="513" t="s">
        <v>32</v>
      </c>
      <c r="T292" s="513" t="s">
        <v>32</v>
      </c>
      <c r="U292" s="513" t="s">
        <v>32</v>
      </c>
    </row>
    <row r="293" spans="1:21" x14ac:dyDescent="0.2">
      <c r="A293" s="1">
        <f t="shared" si="21"/>
        <v>37</v>
      </c>
      <c r="B293" s="41" t="s">
        <v>121</v>
      </c>
      <c r="C293" s="141" t="str">
        <f>HLOOKUP($C$2,E257:T295,$A293,FALSE)</f>
        <v>Sched K-1, Ln J</v>
      </c>
      <c r="D293" s="46"/>
      <c r="E293" s="141" t="s">
        <v>702</v>
      </c>
      <c r="F293" s="141" t="s">
        <v>60</v>
      </c>
      <c r="G293" s="141" t="s">
        <v>60</v>
      </c>
      <c r="H293" s="141" t="s">
        <v>60</v>
      </c>
      <c r="I293" s="141" t="s">
        <v>126</v>
      </c>
      <c r="J293" s="141" t="s">
        <v>126</v>
      </c>
      <c r="K293" s="141" t="s">
        <v>126</v>
      </c>
      <c r="L293" s="141" t="s">
        <v>126</v>
      </c>
      <c r="M293" s="141" t="s">
        <v>126</v>
      </c>
      <c r="N293" s="141" t="s">
        <v>126</v>
      </c>
      <c r="O293" s="141" t="s">
        <v>126</v>
      </c>
      <c r="P293" s="141" t="s">
        <v>126</v>
      </c>
      <c r="Q293" s="141" t="s">
        <v>126</v>
      </c>
      <c r="R293" s="141" t="s">
        <v>126</v>
      </c>
      <c r="S293" s="141" t="s">
        <v>126</v>
      </c>
      <c r="T293" s="141" t="s">
        <v>126</v>
      </c>
      <c r="U293" s="141" t="s">
        <v>126</v>
      </c>
    </row>
    <row r="294" spans="1:21" x14ac:dyDescent="0.2">
      <c r="A294" s="1">
        <f t="shared" si="21"/>
        <v>38</v>
      </c>
      <c r="B294" s="41" t="s">
        <v>122</v>
      </c>
      <c r="C294" s="141" t="str">
        <f>HLOOKUP($C$2,E257:T295,$A294,FALSE)</f>
        <v>Sched K-1, Ln L</v>
      </c>
      <c r="D294" s="46"/>
      <c r="E294" s="141" t="s">
        <v>702</v>
      </c>
      <c r="F294" s="141" t="s">
        <v>64</v>
      </c>
      <c r="G294" s="141" t="s">
        <v>64</v>
      </c>
      <c r="H294" s="141" t="s">
        <v>64</v>
      </c>
      <c r="I294" s="141" t="s">
        <v>60</v>
      </c>
      <c r="J294" s="141" t="s">
        <v>60</v>
      </c>
      <c r="K294" s="141" t="s">
        <v>60</v>
      </c>
      <c r="L294" s="141" t="s">
        <v>60</v>
      </c>
      <c r="M294" s="141" t="s">
        <v>60</v>
      </c>
      <c r="N294" s="141" t="s">
        <v>60</v>
      </c>
      <c r="O294" s="141" t="s">
        <v>60</v>
      </c>
      <c r="P294" s="141" t="s">
        <v>60</v>
      </c>
      <c r="Q294" s="141" t="s">
        <v>60</v>
      </c>
      <c r="R294" s="141" t="s">
        <v>60</v>
      </c>
      <c r="S294" s="141" t="s">
        <v>60</v>
      </c>
      <c r="T294" s="141" t="s">
        <v>60</v>
      </c>
      <c r="U294" s="141" t="s">
        <v>60</v>
      </c>
    </row>
    <row r="295" spans="1:21" x14ac:dyDescent="0.2">
      <c r="A295" s="1">
        <f t="shared" si="21"/>
        <v>39</v>
      </c>
      <c r="B295" s="41" t="s">
        <v>123</v>
      </c>
      <c r="C295" s="141" t="str">
        <f>HLOOKUP($C$2,E257:T295,$A295,FALSE)</f>
        <v>Sched K-1, Ln 4</v>
      </c>
      <c r="D295" s="46"/>
      <c r="E295" s="141" t="s">
        <v>702</v>
      </c>
      <c r="F295" s="141" t="s">
        <v>61</v>
      </c>
      <c r="G295" s="141" t="s">
        <v>61</v>
      </c>
      <c r="H295" s="141" t="s">
        <v>61</v>
      </c>
      <c r="I295" s="141" t="s">
        <v>61</v>
      </c>
      <c r="J295" s="141" t="s">
        <v>61</v>
      </c>
      <c r="K295" s="141" t="s">
        <v>61</v>
      </c>
      <c r="L295" s="141" t="s">
        <v>61</v>
      </c>
      <c r="M295" s="141" t="s">
        <v>61</v>
      </c>
      <c r="N295" s="141" t="s">
        <v>61</v>
      </c>
      <c r="O295" s="141" t="s">
        <v>61</v>
      </c>
      <c r="P295" s="141" t="s">
        <v>61</v>
      </c>
      <c r="Q295" s="141" t="s">
        <v>61</v>
      </c>
      <c r="R295" s="141" t="s">
        <v>61</v>
      </c>
      <c r="S295" s="141" t="s">
        <v>61</v>
      </c>
      <c r="T295" s="141" t="s">
        <v>61</v>
      </c>
      <c r="U295" s="141" t="s">
        <v>61</v>
      </c>
    </row>
    <row r="296" spans="1:21" x14ac:dyDescent="0.2">
      <c r="A296" s="1">
        <f t="shared" si="21"/>
        <v>40</v>
      </c>
      <c r="M296" s="152"/>
      <c r="N296" s="152"/>
      <c r="O296" s="152"/>
      <c r="P296" s="152"/>
      <c r="Q296" s="152"/>
      <c r="R296" s="152"/>
      <c r="S296" s="152"/>
      <c r="T296" s="152"/>
      <c r="U296" s="152"/>
    </row>
    <row r="297" spans="1:21" x14ac:dyDescent="0.2">
      <c r="M297" s="152"/>
      <c r="N297" s="152"/>
      <c r="O297" s="152"/>
      <c r="P297" s="152"/>
      <c r="Q297" s="152"/>
      <c r="R297" s="152"/>
      <c r="S297" s="152"/>
      <c r="T297" s="152"/>
      <c r="U297" s="152"/>
    </row>
    <row r="298" spans="1:21" x14ac:dyDescent="0.2">
      <c r="M298" s="152"/>
      <c r="N298" s="152"/>
      <c r="O298" s="152"/>
      <c r="P298" s="152"/>
      <c r="Q298" s="152"/>
      <c r="R298" s="152"/>
      <c r="S298" s="152"/>
      <c r="T298" s="152"/>
      <c r="U298" s="152"/>
    </row>
    <row r="299" spans="1:21" x14ac:dyDescent="0.2">
      <c r="M299" s="152"/>
      <c r="N299" s="152"/>
      <c r="O299" s="152"/>
      <c r="P299" s="152"/>
      <c r="Q299" s="152"/>
      <c r="R299" s="152"/>
      <c r="S299" s="152"/>
      <c r="T299" s="152"/>
      <c r="U299" s="152"/>
    </row>
    <row r="300" spans="1:21" x14ac:dyDescent="0.2">
      <c r="M300" s="152"/>
      <c r="N300" s="152"/>
      <c r="O300" s="152"/>
      <c r="P300" s="152"/>
      <c r="Q300" s="152"/>
      <c r="R300" s="152"/>
      <c r="S300" s="152"/>
      <c r="T300" s="152"/>
      <c r="U300" s="152"/>
    </row>
    <row r="301" spans="1:21" x14ac:dyDescent="0.2">
      <c r="M301" s="152"/>
      <c r="N301" s="152"/>
      <c r="O301" s="152"/>
      <c r="P301" s="152"/>
      <c r="Q301" s="152"/>
      <c r="R301" s="152"/>
      <c r="S301" s="152"/>
      <c r="T301" s="152"/>
      <c r="U301" s="152"/>
    </row>
    <row r="302" spans="1:21" x14ac:dyDescent="0.2">
      <c r="M302" s="152"/>
      <c r="N302" s="152"/>
      <c r="O302" s="152"/>
      <c r="P302" s="152"/>
      <c r="Q302" s="152"/>
      <c r="R302" s="152"/>
      <c r="S302" s="152"/>
      <c r="T302" s="152"/>
      <c r="U302" s="152"/>
    </row>
    <row r="303" spans="1:21" x14ac:dyDescent="0.2">
      <c r="M303" s="152"/>
      <c r="N303" s="152"/>
      <c r="O303" s="152"/>
      <c r="P303" s="152"/>
      <c r="Q303" s="152"/>
      <c r="R303" s="152"/>
      <c r="S303" s="152"/>
      <c r="T303" s="152"/>
      <c r="U303" s="152"/>
    </row>
    <row r="304" spans="1:21" x14ac:dyDescent="0.2">
      <c r="M304" s="152"/>
      <c r="N304" s="152"/>
      <c r="O304" s="152"/>
      <c r="P304" s="152"/>
      <c r="Q304" s="152"/>
      <c r="R304" s="152"/>
      <c r="S304" s="152"/>
      <c r="T304" s="152"/>
      <c r="U304" s="152"/>
    </row>
    <row r="305" spans="13:21" x14ac:dyDescent="0.2">
      <c r="M305" s="152"/>
      <c r="N305" s="152"/>
      <c r="O305" s="152"/>
      <c r="P305" s="152"/>
      <c r="Q305" s="152"/>
      <c r="R305" s="152"/>
      <c r="S305" s="152"/>
      <c r="T305" s="152"/>
      <c r="U305" s="152"/>
    </row>
    <row r="306" spans="13:21" x14ac:dyDescent="0.2">
      <c r="M306" s="152"/>
      <c r="N306" s="152"/>
      <c r="O306" s="152"/>
      <c r="P306" s="152"/>
      <c r="Q306" s="152"/>
      <c r="R306" s="152"/>
      <c r="S306" s="152"/>
      <c r="T306" s="152"/>
      <c r="U306" s="152"/>
    </row>
    <row r="307" spans="13:21" x14ac:dyDescent="0.2">
      <c r="M307" s="152"/>
      <c r="N307" s="152"/>
      <c r="O307" s="152"/>
      <c r="P307" s="152"/>
      <c r="Q307" s="152"/>
      <c r="R307" s="152"/>
      <c r="S307" s="152"/>
      <c r="T307" s="152"/>
      <c r="U307" s="152"/>
    </row>
    <row r="308" spans="13:21" x14ac:dyDescent="0.2">
      <c r="M308" s="152"/>
      <c r="N308" s="152"/>
      <c r="O308" s="152"/>
      <c r="P308" s="152"/>
      <c r="Q308" s="152"/>
      <c r="R308" s="152"/>
      <c r="S308" s="152"/>
      <c r="T308" s="152"/>
      <c r="U308" s="152"/>
    </row>
    <row r="309" spans="13:21" x14ac:dyDescent="0.2">
      <c r="M309" s="152"/>
      <c r="N309" s="152"/>
      <c r="O309" s="152"/>
      <c r="P309" s="152"/>
      <c r="Q309" s="152"/>
      <c r="R309" s="152"/>
      <c r="S309" s="152"/>
      <c r="T309" s="152"/>
      <c r="U309" s="152"/>
    </row>
    <row r="310" spans="13:21" x14ac:dyDescent="0.2">
      <c r="M310" s="152"/>
      <c r="N310" s="152"/>
      <c r="O310" s="152"/>
      <c r="P310" s="152"/>
      <c r="Q310" s="152"/>
      <c r="R310" s="152"/>
      <c r="S310" s="152"/>
      <c r="T310" s="152"/>
      <c r="U310" s="152"/>
    </row>
    <row r="311" spans="13:21" x14ac:dyDescent="0.2">
      <c r="M311" s="152"/>
      <c r="N311" s="152"/>
      <c r="O311" s="152"/>
      <c r="P311" s="152"/>
      <c r="Q311" s="152"/>
      <c r="R311" s="152"/>
      <c r="S311" s="152"/>
      <c r="T311" s="152"/>
      <c r="U311" s="152"/>
    </row>
    <row r="312" spans="13:21" x14ac:dyDescent="0.2">
      <c r="M312" s="152"/>
      <c r="N312" s="152"/>
      <c r="O312" s="152"/>
      <c r="P312" s="152"/>
      <c r="Q312" s="152"/>
      <c r="R312" s="152"/>
      <c r="S312" s="152"/>
      <c r="T312" s="152"/>
      <c r="U312" s="152"/>
    </row>
    <row r="313" spans="13:21" x14ac:dyDescent="0.2">
      <c r="M313" s="152"/>
      <c r="N313" s="152"/>
      <c r="O313" s="152"/>
      <c r="P313" s="152"/>
      <c r="Q313" s="152"/>
      <c r="R313" s="152"/>
      <c r="S313" s="152"/>
      <c r="T313" s="152"/>
      <c r="U313" s="152"/>
    </row>
    <row r="314" spans="13:21" x14ac:dyDescent="0.2">
      <c r="M314" s="152"/>
      <c r="N314" s="152"/>
      <c r="O314" s="152"/>
      <c r="P314" s="152"/>
      <c r="Q314" s="152"/>
      <c r="R314" s="152"/>
      <c r="S314" s="152"/>
      <c r="T314" s="152"/>
      <c r="U314" s="152"/>
    </row>
    <row r="315" spans="13:21" x14ac:dyDescent="0.2">
      <c r="M315" s="152"/>
      <c r="N315" s="152"/>
      <c r="O315" s="152"/>
      <c r="P315" s="152"/>
      <c r="Q315" s="152"/>
      <c r="R315" s="152"/>
      <c r="S315" s="152"/>
      <c r="T315" s="152"/>
      <c r="U315" s="152"/>
    </row>
  </sheetData>
  <sheetProtection algorithmName="SHA-512" hashValue="BnoxGcsW/gGfDp2RGB0gRxyNEaL6V7dWFJrFUX23F/YdfcRQFw5haAm6TFZ3faaScrFzBHGH+9hk2YxwCpAeQA==" saltValue="IV6CJ1EmxZHoVj1tyVBR9Q==" spinCount="100000" sheet="1" objects="1" scenarios="1"/>
  <phoneticPr fontId="2" type="noConversion"/>
  <pageMargins left="0.75" right="0.75" top="1" bottom="1" header="0.5" footer="0.5"/>
  <pageSetup orientation="portrait"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9">
    <pageSetUpPr fitToPage="1"/>
  </sheetPr>
  <dimension ref="A1:J309"/>
  <sheetViews>
    <sheetView workbookViewId="0">
      <pane ySplit="3" topLeftCell="A289" activePane="bottomLeft" state="frozen"/>
      <selection activeCell="E31" sqref="E31"/>
      <selection pane="bottomLeft" activeCell="F309" sqref="F309"/>
    </sheetView>
  </sheetViews>
  <sheetFormatPr defaultRowHeight="12.75" x14ac:dyDescent="0.2"/>
  <cols>
    <col min="1" max="1" width="4.5703125" bestFit="1" customWidth="1"/>
    <col min="2" max="2" width="84.42578125" customWidth="1"/>
    <col min="3" max="4" width="10.7109375" customWidth="1"/>
    <col min="5" max="5" width="25.7109375" customWidth="1"/>
  </cols>
  <sheetData>
    <row r="1" spans="1:10" x14ac:dyDescent="0.2">
      <c r="B1" t="s">
        <v>515</v>
      </c>
    </row>
    <row r="3" spans="1:10" x14ac:dyDescent="0.2">
      <c r="C3" s="9" t="s">
        <v>335</v>
      </c>
      <c r="D3" s="9" t="s">
        <v>336</v>
      </c>
      <c r="E3" s="9" t="s">
        <v>351</v>
      </c>
    </row>
    <row r="4" spans="1:10" ht="24.95" customHeight="1" x14ac:dyDescent="0.2">
      <c r="A4" s="164">
        <v>1</v>
      </c>
      <c r="B4" s="163" t="s">
        <v>334</v>
      </c>
      <c r="C4" s="165">
        <v>39122</v>
      </c>
      <c r="D4" s="165">
        <v>39127</v>
      </c>
      <c r="E4" s="163" t="s">
        <v>352</v>
      </c>
      <c r="F4" s="163"/>
      <c r="G4" s="163"/>
      <c r="H4" s="163"/>
      <c r="I4" s="163"/>
      <c r="J4" s="163"/>
    </row>
    <row r="5" spans="1:10" x14ac:dyDescent="0.2">
      <c r="A5" s="164">
        <f>1+A4</f>
        <v>2</v>
      </c>
      <c r="B5" s="163" t="s">
        <v>338</v>
      </c>
      <c r="C5" s="165">
        <v>39122</v>
      </c>
      <c r="D5" s="165">
        <v>39128</v>
      </c>
    </row>
    <row r="6" spans="1:10" x14ac:dyDescent="0.2">
      <c r="A6" s="164">
        <f t="shared" ref="A6:A17" si="0">1+A5</f>
        <v>3</v>
      </c>
      <c r="B6" s="163" t="s">
        <v>337</v>
      </c>
      <c r="C6" s="165">
        <v>39122</v>
      </c>
      <c r="D6" s="233">
        <v>39129</v>
      </c>
    </row>
    <row r="7" spans="1:10" x14ac:dyDescent="0.2">
      <c r="A7" s="164">
        <f t="shared" si="0"/>
        <v>4</v>
      </c>
      <c r="B7" s="163" t="s">
        <v>339</v>
      </c>
      <c r="C7" s="165">
        <v>39122</v>
      </c>
      <c r="D7" s="233">
        <v>39129</v>
      </c>
      <c r="E7" t="s">
        <v>1141</v>
      </c>
    </row>
    <row r="8" spans="1:10" x14ac:dyDescent="0.2">
      <c r="A8" s="164">
        <f t="shared" si="0"/>
        <v>5</v>
      </c>
      <c r="B8" s="163" t="s">
        <v>340</v>
      </c>
      <c r="C8" s="165">
        <v>39122</v>
      </c>
      <c r="D8" s="233">
        <v>39129</v>
      </c>
    </row>
    <row r="9" spans="1:10" x14ac:dyDescent="0.2">
      <c r="A9" s="164">
        <f t="shared" si="0"/>
        <v>6</v>
      </c>
      <c r="B9" s="163" t="s">
        <v>341</v>
      </c>
      <c r="C9" s="165">
        <v>39122</v>
      </c>
      <c r="D9" s="233">
        <v>39129</v>
      </c>
    </row>
    <row r="10" spans="1:10" x14ac:dyDescent="0.2">
      <c r="A10" s="164">
        <f t="shared" si="0"/>
        <v>7</v>
      </c>
      <c r="B10" s="163" t="s">
        <v>342</v>
      </c>
      <c r="C10" s="165">
        <v>39122</v>
      </c>
      <c r="D10" s="233">
        <v>39129</v>
      </c>
    </row>
    <row r="11" spans="1:10" x14ac:dyDescent="0.2">
      <c r="A11" s="164">
        <f t="shared" si="0"/>
        <v>8</v>
      </c>
      <c r="B11" s="163" t="s">
        <v>344</v>
      </c>
      <c r="C11" s="165">
        <v>39122</v>
      </c>
      <c r="D11" s="230"/>
    </row>
    <row r="12" spans="1:10" x14ac:dyDescent="0.2">
      <c r="A12" s="164">
        <f t="shared" si="0"/>
        <v>9</v>
      </c>
      <c r="B12" s="163" t="s">
        <v>343</v>
      </c>
      <c r="C12" s="165">
        <v>39122</v>
      </c>
      <c r="D12" s="165">
        <v>39128</v>
      </c>
    </row>
    <row r="13" spans="1:10" ht="25.5" x14ac:dyDescent="0.2">
      <c r="A13" s="164">
        <f t="shared" si="0"/>
        <v>10</v>
      </c>
      <c r="B13" s="163" t="s">
        <v>349</v>
      </c>
      <c r="C13" s="165">
        <v>39122</v>
      </c>
      <c r="D13" s="165">
        <v>39128</v>
      </c>
    </row>
    <row r="14" spans="1:10" x14ac:dyDescent="0.2">
      <c r="A14" s="164">
        <f t="shared" si="0"/>
        <v>11</v>
      </c>
      <c r="B14" s="163" t="s">
        <v>520</v>
      </c>
      <c r="C14" s="165">
        <v>39127</v>
      </c>
      <c r="D14" s="165">
        <v>39128</v>
      </c>
    </row>
    <row r="15" spans="1:10" x14ac:dyDescent="0.2">
      <c r="A15" s="164">
        <f t="shared" si="0"/>
        <v>12</v>
      </c>
      <c r="B15" s="163" t="s">
        <v>518</v>
      </c>
      <c r="C15" s="165">
        <v>39127</v>
      </c>
      <c r="D15" s="165">
        <v>39128</v>
      </c>
    </row>
    <row r="16" spans="1:10" x14ac:dyDescent="0.2">
      <c r="A16" s="164">
        <f t="shared" si="0"/>
        <v>13</v>
      </c>
      <c r="B16" s="163" t="s">
        <v>519</v>
      </c>
      <c r="C16" s="165">
        <v>39127</v>
      </c>
      <c r="D16" s="165">
        <v>39128</v>
      </c>
    </row>
    <row r="17" spans="1:5" x14ac:dyDescent="0.2">
      <c r="A17" s="164">
        <f t="shared" si="0"/>
        <v>14</v>
      </c>
      <c r="B17" s="163" t="s">
        <v>530</v>
      </c>
      <c r="C17" s="165">
        <v>39127</v>
      </c>
      <c r="D17" s="233">
        <v>39129</v>
      </c>
    </row>
    <row r="18" spans="1:5" ht="27.75" x14ac:dyDescent="0.2">
      <c r="A18" s="164">
        <f t="shared" ref="A18:A24" si="1">1+A17</f>
        <v>15</v>
      </c>
      <c r="B18" s="163" t="s">
        <v>377</v>
      </c>
      <c r="C18" s="165">
        <v>39128</v>
      </c>
      <c r="D18" s="165">
        <v>39128</v>
      </c>
      <c r="E18" s="168" t="s">
        <v>374</v>
      </c>
    </row>
    <row r="19" spans="1:5" x14ac:dyDescent="0.2">
      <c r="A19" s="164">
        <f t="shared" si="1"/>
        <v>16</v>
      </c>
      <c r="B19" s="163" t="s">
        <v>462</v>
      </c>
      <c r="C19" s="165">
        <v>39128</v>
      </c>
      <c r="D19" s="165">
        <v>39128</v>
      </c>
    </row>
    <row r="20" spans="1:5" x14ac:dyDescent="0.2">
      <c r="A20" s="164">
        <f t="shared" si="1"/>
        <v>17</v>
      </c>
      <c r="B20" s="163" t="s">
        <v>468</v>
      </c>
      <c r="C20" s="165">
        <v>39128</v>
      </c>
      <c r="D20" s="165">
        <v>39128</v>
      </c>
    </row>
    <row r="21" spans="1:5" x14ac:dyDescent="0.2">
      <c r="A21" s="164">
        <f t="shared" si="1"/>
        <v>18</v>
      </c>
      <c r="B21" s="163" t="s">
        <v>469</v>
      </c>
      <c r="C21" s="165">
        <v>39128</v>
      </c>
      <c r="D21" s="165">
        <v>39128</v>
      </c>
    </row>
    <row r="22" spans="1:5" x14ac:dyDescent="0.2">
      <c r="A22" s="164">
        <f t="shared" si="1"/>
        <v>19</v>
      </c>
      <c r="B22" s="163" t="s">
        <v>470</v>
      </c>
      <c r="C22" s="165">
        <v>39128</v>
      </c>
      <c r="D22" s="165">
        <v>39128</v>
      </c>
    </row>
    <row r="23" spans="1:5" x14ac:dyDescent="0.2">
      <c r="A23" s="164">
        <f t="shared" si="1"/>
        <v>20</v>
      </c>
      <c r="B23" s="163" t="s">
        <v>471</v>
      </c>
      <c r="C23" s="165">
        <v>39128</v>
      </c>
      <c r="D23" s="233">
        <v>39129</v>
      </c>
    </row>
    <row r="24" spans="1:5" x14ac:dyDescent="0.2">
      <c r="A24" s="164">
        <f t="shared" si="1"/>
        <v>21</v>
      </c>
      <c r="B24" s="163" t="s">
        <v>484</v>
      </c>
      <c r="C24" s="165">
        <v>39128</v>
      </c>
      <c r="D24" s="165">
        <v>39128</v>
      </c>
    </row>
    <row r="25" spans="1:5" x14ac:dyDescent="0.2">
      <c r="A25" s="164">
        <v>22</v>
      </c>
      <c r="B25" s="163" t="s">
        <v>485</v>
      </c>
      <c r="C25" s="165">
        <v>39128</v>
      </c>
      <c r="D25" s="233">
        <v>39129</v>
      </c>
    </row>
    <row r="26" spans="1:5" x14ac:dyDescent="0.2">
      <c r="A26" s="164">
        <v>22</v>
      </c>
      <c r="B26" s="163" t="s">
        <v>385</v>
      </c>
      <c r="C26" s="165">
        <v>39129</v>
      </c>
      <c r="D26" s="233">
        <v>39129</v>
      </c>
    </row>
    <row r="27" spans="1:5" x14ac:dyDescent="0.2">
      <c r="A27" s="236"/>
      <c r="B27" s="84" t="s">
        <v>375</v>
      </c>
      <c r="C27" s="237"/>
      <c r="D27" s="237"/>
    </row>
    <row r="28" spans="1:5" x14ac:dyDescent="0.2">
      <c r="A28" s="164">
        <v>23</v>
      </c>
      <c r="B28" s="163" t="s">
        <v>376</v>
      </c>
      <c r="C28" s="165">
        <v>39129</v>
      </c>
      <c r="D28" s="165">
        <v>39161</v>
      </c>
      <c r="E28" t="s">
        <v>347</v>
      </c>
    </row>
    <row r="29" spans="1:5" x14ac:dyDescent="0.2">
      <c r="A29" s="164">
        <v>24</v>
      </c>
      <c r="B29" s="163" t="s">
        <v>345</v>
      </c>
      <c r="C29" s="165">
        <v>39129</v>
      </c>
      <c r="D29" s="165">
        <v>39161</v>
      </c>
      <c r="E29" t="s">
        <v>346</v>
      </c>
    </row>
    <row r="30" spans="1:5" x14ac:dyDescent="0.2">
      <c r="A30" s="164">
        <v>25</v>
      </c>
      <c r="B30" s="163" t="s">
        <v>348</v>
      </c>
      <c r="C30" s="165">
        <v>39129</v>
      </c>
      <c r="D30" s="165">
        <v>39134</v>
      </c>
      <c r="E30" t="s">
        <v>346</v>
      </c>
    </row>
    <row r="31" spans="1:5" x14ac:dyDescent="0.2">
      <c r="A31" s="164">
        <v>26</v>
      </c>
      <c r="B31" s="163" t="s">
        <v>44</v>
      </c>
      <c r="C31" s="165">
        <v>39140</v>
      </c>
      <c r="D31" s="165">
        <v>39140</v>
      </c>
      <c r="E31" t="s">
        <v>347</v>
      </c>
    </row>
    <row r="32" spans="1:5" x14ac:dyDescent="0.2">
      <c r="A32" s="164">
        <v>27</v>
      </c>
      <c r="B32" s="163" t="s">
        <v>1352</v>
      </c>
      <c r="C32" s="165">
        <v>39142</v>
      </c>
      <c r="D32" s="165">
        <v>39161</v>
      </c>
      <c r="E32" t="s">
        <v>347</v>
      </c>
    </row>
    <row r="33" spans="1:5" x14ac:dyDescent="0.2">
      <c r="A33" s="164">
        <v>28</v>
      </c>
      <c r="B33" s="163" t="s">
        <v>1278</v>
      </c>
      <c r="C33" s="165">
        <v>39147</v>
      </c>
      <c r="D33" s="165"/>
      <c r="E33" t="s">
        <v>347</v>
      </c>
    </row>
    <row r="34" spans="1:5" x14ac:dyDescent="0.2">
      <c r="A34" s="164">
        <v>29</v>
      </c>
      <c r="B34" s="163" t="s">
        <v>1200</v>
      </c>
      <c r="C34" s="165">
        <v>39148</v>
      </c>
      <c r="D34" s="165">
        <v>39161</v>
      </c>
      <c r="E34" t="s">
        <v>347</v>
      </c>
    </row>
    <row r="35" spans="1:5" x14ac:dyDescent="0.2">
      <c r="A35" s="164">
        <v>30</v>
      </c>
      <c r="B35" s="163" t="s">
        <v>1109</v>
      </c>
      <c r="C35" s="165">
        <v>39153</v>
      </c>
      <c r="D35" s="165">
        <v>39161</v>
      </c>
      <c r="E35" t="s">
        <v>347</v>
      </c>
    </row>
    <row r="36" spans="1:5" x14ac:dyDescent="0.2">
      <c r="A36" s="236"/>
      <c r="B36" s="84" t="s">
        <v>203</v>
      </c>
      <c r="C36" s="237"/>
      <c r="D36" s="237"/>
    </row>
    <row r="37" spans="1:5" x14ac:dyDescent="0.2">
      <c r="A37" s="164">
        <v>31</v>
      </c>
      <c r="B37" s="163" t="s">
        <v>514</v>
      </c>
      <c r="C37" s="238">
        <v>39170</v>
      </c>
      <c r="D37" s="238">
        <v>39170</v>
      </c>
      <c r="E37" t="s">
        <v>512</v>
      </c>
    </row>
    <row r="38" spans="1:5" x14ac:dyDescent="0.2">
      <c r="A38" s="164">
        <v>32</v>
      </c>
      <c r="B38" s="163" t="s">
        <v>513</v>
      </c>
      <c r="C38" s="238">
        <v>39170</v>
      </c>
      <c r="D38" s="238">
        <v>39170</v>
      </c>
      <c r="E38" t="s">
        <v>512</v>
      </c>
    </row>
    <row r="39" spans="1:5" x14ac:dyDescent="0.2">
      <c r="A39" s="164">
        <v>33</v>
      </c>
      <c r="B39" s="163" t="s">
        <v>516</v>
      </c>
      <c r="C39" s="238">
        <v>39170</v>
      </c>
      <c r="D39" s="238">
        <v>39170</v>
      </c>
      <c r="E39" t="s">
        <v>347</v>
      </c>
    </row>
    <row r="40" spans="1:5" x14ac:dyDescent="0.2">
      <c r="A40" s="164">
        <v>34</v>
      </c>
      <c r="B40" s="163" t="s">
        <v>517</v>
      </c>
      <c r="C40" s="238">
        <v>39170</v>
      </c>
      <c r="D40" s="238">
        <v>39170</v>
      </c>
      <c r="E40" t="s">
        <v>347</v>
      </c>
    </row>
    <row r="41" spans="1:5" x14ac:dyDescent="0.2">
      <c r="A41" s="236"/>
      <c r="B41" s="84" t="s">
        <v>1397</v>
      </c>
      <c r="C41" s="237"/>
      <c r="D41" s="237"/>
    </row>
    <row r="42" spans="1:5" x14ac:dyDescent="0.2">
      <c r="A42" s="164">
        <f>+A40+1</f>
        <v>35</v>
      </c>
      <c r="B42" s="163" t="s">
        <v>1398</v>
      </c>
      <c r="C42" s="238">
        <v>39437</v>
      </c>
      <c r="D42" s="238">
        <v>39437</v>
      </c>
      <c r="E42" t="s">
        <v>347</v>
      </c>
    </row>
    <row r="43" spans="1:5" x14ac:dyDescent="0.2">
      <c r="A43" s="164">
        <f>+A42+1</f>
        <v>36</v>
      </c>
      <c r="B43" s="163" t="s">
        <v>1399</v>
      </c>
      <c r="C43" s="238">
        <v>39437</v>
      </c>
      <c r="D43" s="238">
        <v>39443</v>
      </c>
      <c r="E43" t="s">
        <v>347</v>
      </c>
    </row>
    <row r="44" spans="1:5" x14ac:dyDescent="0.2">
      <c r="A44" s="164">
        <f t="shared" ref="A44:A51" si="2">+A43+1</f>
        <v>37</v>
      </c>
      <c r="B44" s="163" t="s">
        <v>1402</v>
      </c>
      <c r="C44" s="238">
        <v>39437</v>
      </c>
      <c r="D44" s="238">
        <v>39440</v>
      </c>
      <c r="E44" t="s">
        <v>347</v>
      </c>
    </row>
    <row r="45" spans="1:5" x14ac:dyDescent="0.2">
      <c r="A45" s="164">
        <f t="shared" si="2"/>
        <v>38</v>
      </c>
      <c r="B45" s="163" t="s">
        <v>1401</v>
      </c>
      <c r="C45" s="238">
        <v>39437</v>
      </c>
      <c r="D45" s="317"/>
      <c r="E45" t="s">
        <v>347</v>
      </c>
    </row>
    <row r="46" spans="1:5" x14ac:dyDescent="0.2">
      <c r="A46" s="164">
        <f t="shared" si="2"/>
        <v>39</v>
      </c>
      <c r="B46" s="163" t="s">
        <v>1400</v>
      </c>
      <c r="C46" s="238">
        <v>39440</v>
      </c>
      <c r="D46" s="238">
        <v>39444</v>
      </c>
      <c r="E46" t="s">
        <v>347</v>
      </c>
    </row>
    <row r="47" spans="1:5" x14ac:dyDescent="0.2">
      <c r="A47" s="164">
        <f t="shared" si="2"/>
        <v>40</v>
      </c>
      <c r="B47" s="163" t="s">
        <v>1142</v>
      </c>
      <c r="C47" s="238">
        <v>39442</v>
      </c>
      <c r="D47" s="238">
        <v>39442</v>
      </c>
      <c r="E47" t="s">
        <v>347</v>
      </c>
    </row>
    <row r="48" spans="1:5" x14ac:dyDescent="0.2">
      <c r="A48" s="164">
        <f t="shared" si="2"/>
        <v>41</v>
      </c>
      <c r="B48" s="163" t="s">
        <v>288</v>
      </c>
      <c r="C48" s="238">
        <v>39443</v>
      </c>
      <c r="D48" s="238">
        <v>39443</v>
      </c>
      <c r="E48" t="s">
        <v>347</v>
      </c>
    </row>
    <row r="49" spans="1:5" x14ac:dyDescent="0.2">
      <c r="A49" s="164">
        <f t="shared" si="2"/>
        <v>42</v>
      </c>
      <c r="B49" s="163" t="s">
        <v>1000</v>
      </c>
      <c r="C49" s="238">
        <v>39443</v>
      </c>
      <c r="D49" s="238">
        <v>39443</v>
      </c>
      <c r="E49" t="s">
        <v>347</v>
      </c>
    </row>
    <row r="50" spans="1:5" x14ac:dyDescent="0.2">
      <c r="A50" s="164">
        <f t="shared" si="2"/>
        <v>43</v>
      </c>
      <c r="B50" s="163" t="s">
        <v>1001</v>
      </c>
      <c r="C50" s="238">
        <v>39443</v>
      </c>
      <c r="D50" s="238">
        <v>39443</v>
      </c>
      <c r="E50" t="s">
        <v>347</v>
      </c>
    </row>
    <row r="51" spans="1:5" x14ac:dyDescent="0.2">
      <c r="A51" s="164">
        <f t="shared" si="2"/>
        <v>44</v>
      </c>
      <c r="B51" s="163" t="s">
        <v>402</v>
      </c>
      <c r="C51" s="238">
        <v>39443</v>
      </c>
      <c r="D51" s="238">
        <v>39443</v>
      </c>
      <c r="E51" t="s">
        <v>347</v>
      </c>
    </row>
    <row r="52" spans="1:5" x14ac:dyDescent="0.2">
      <c r="A52" s="236"/>
      <c r="B52" s="84" t="s">
        <v>634</v>
      </c>
      <c r="C52" s="237"/>
      <c r="D52" s="237"/>
    </row>
    <row r="53" spans="1:5" x14ac:dyDescent="0.2">
      <c r="A53" s="164">
        <f>+A51+1</f>
        <v>45</v>
      </c>
      <c r="B53" s="163" t="s">
        <v>635</v>
      </c>
      <c r="C53" s="238">
        <v>39443</v>
      </c>
      <c r="D53" s="238">
        <v>39443</v>
      </c>
      <c r="E53" t="s">
        <v>347</v>
      </c>
    </row>
    <row r="54" spans="1:5" x14ac:dyDescent="0.2">
      <c r="A54" s="236"/>
      <c r="B54" s="84" t="s">
        <v>398</v>
      </c>
      <c r="C54" s="237"/>
      <c r="D54" s="237"/>
    </row>
    <row r="55" spans="1:5" x14ac:dyDescent="0.2">
      <c r="A55" s="164">
        <f>+A53+1</f>
        <v>46</v>
      </c>
      <c r="B55" s="163" t="s">
        <v>399</v>
      </c>
      <c r="C55" s="238">
        <v>39444</v>
      </c>
      <c r="D55" s="238">
        <v>39444</v>
      </c>
      <c r="E55" t="s">
        <v>347</v>
      </c>
    </row>
    <row r="56" spans="1:5" ht="25.5" x14ac:dyDescent="0.2">
      <c r="A56" s="164">
        <f>+A55+1</f>
        <v>47</v>
      </c>
      <c r="B56" s="316" t="s">
        <v>403</v>
      </c>
      <c r="C56" s="238">
        <v>39444</v>
      </c>
      <c r="D56" s="238">
        <v>39444</v>
      </c>
      <c r="E56" t="s">
        <v>347</v>
      </c>
    </row>
    <row r="57" spans="1:5" x14ac:dyDescent="0.2">
      <c r="A57" s="164">
        <f>+A56+1</f>
        <v>48</v>
      </c>
      <c r="B57" t="s">
        <v>401</v>
      </c>
      <c r="C57" s="238">
        <v>39444</v>
      </c>
      <c r="D57" s="238">
        <v>39444</v>
      </c>
      <c r="E57" t="s">
        <v>347</v>
      </c>
    </row>
    <row r="63" spans="1:5" x14ac:dyDescent="0.2">
      <c r="A63" s="84"/>
      <c r="B63" s="258" t="s">
        <v>365</v>
      </c>
      <c r="C63" s="84"/>
      <c r="D63" s="84"/>
    </row>
    <row r="64" spans="1:5" x14ac:dyDescent="0.2">
      <c r="A64" s="164">
        <f>+A57+1</f>
        <v>49</v>
      </c>
      <c r="B64" t="s">
        <v>1403</v>
      </c>
      <c r="C64" s="238">
        <v>39440</v>
      </c>
      <c r="D64" s="238">
        <f>+C64</f>
        <v>39440</v>
      </c>
      <c r="E64" t="s">
        <v>347</v>
      </c>
    </row>
    <row r="65" spans="1:5" x14ac:dyDescent="0.2">
      <c r="A65" s="164">
        <f>+A64+1</f>
        <v>50</v>
      </c>
      <c r="B65" t="s">
        <v>633</v>
      </c>
      <c r="C65" s="238">
        <v>39784</v>
      </c>
      <c r="D65" s="238">
        <f>+C65</f>
        <v>39784</v>
      </c>
      <c r="E65" t="s">
        <v>347</v>
      </c>
    </row>
    <row r="66" spans="1:5" x14ac:dyDescent="0.2">
      <c r="A66" s="164">
        <f t="shared" ref="A66:A71" si="3">+A65+1</f>
        <v>51</v>
      </c>
      <c r="B66" t="s">
        <v>1012</v>
      </c>
      <c r="C66" s="238">
        <v>39811</v>
      </c>
      <c r="D66" s="238">
        <f>+C66</f>
        <v>39811</v>
      </c>
      <c r="E66" t="s">
        <v>347</v>
      </c>
    </row>
    <row r="67" spans="1:5" x14ac:dyDescent="0.2">
      <c r="A67" s="164">
        <f t="shared" si="3"/>
        <v>52</v>
      </c>
      <c r="B67" t="s">
        <v>592</v>
      </c>
      <c r="C67" s="238">
        <v>39818</v>
      </c>
      <c r="D67" s="238">
        <f>+C67</f>
        <v>39818</v>
      </c>
      <c r="E67" t="s">
        <v>593</v>
      </c>
    </row>
    <row r="68" spans="1:5" x14ac:dyDescent="0.2">
      <c r="A68" s="164">
        <f t="shared" si="3"/>
        <v>53</v>
      </c>
      <c r="B68" t="s">
        <v>594</v>
      </c>
      <c r="C68" s="238">
        <v>39818</v>
      </c>
      <c r="D68" s="238">
        <f>+C68</f>
        <v>39818</v>
      </c>
      <c r="E68" t="s">
        <v>347</v>
      </c>
    </row>
    <row r="69" spans="1:5" x14ac:dyDescent="0.2">
      <c r="A69" s="164">
        <f t="shared" si="3"/>
        <v>54</v>
      </c>
      <c r="B69" t="s">
        <v>596</v>
      </c>
      <c r="C69" s="238">
        <v>39818</v>
      </c>
      <c r="D69" s="238">
        <v>39822</v>
      </c>
      <c r="E69" t="s">
        <v>347</v>
      </c>
    </row>
    <row r="70" spans="1:5" x14ac:dyDescent="0.2">
      <c r="A70" s="164">
        <f t="shared" si="3"/>
        <v>55</v>
      </c>
      <c r="B70" t="s">
        <v>371</v>
      </c>
      <c r="C70" s="238">
        <v>39822</v>
      </c>
      <c r="D70" s="238">
        <v>39822</v>
      </c>
      <c r="E70" t="s">
        <v>347</v>
      </c>
    </row>
    <row r="71" spans="1:5" x14ac:dyDescent="0.2">
      <c r="A71" s="164">
        <f t="shared" si="3"/>
        <v>56</v>
      </c>
      <c r="B71" t="s">
        <v>717</v>
      </c>
      <c r="C71" s="238">
        <v>39848</v>
      </c>
      <c r="D71" s="238">
        <v>39848</v>
      </c>
      <c r="E71" t="s">
        <v>347</v>
      </c>
    </row>
    <row r="73" spans="1:5" x14ac:dyDescent="0.2">
      <c r="A73" s="84"/>
      <c r="B73" s="258" t="s">
        <v>716</v>
      </c>
      <c r="C73" s="84"/>
      <c r="D73" s="84"/>
    </row>
    <row r="74" spans="1:5" x14ac:dyDescent="0.2">
      <c r="A74" s="164">
        <f>+A71+1</f>
        <v>57</v>
      </c>
      <c r="B74" t="s">
        <v>1281</v>
      </c>
      <c r="C74" s="238">
        <v>39895</v>
      </c>
      <c r="D74" s="238">
        <v>39895</v>
      </c>
      <c r="E74" t="s">
        <v>347</v>
      </c>
    </row>
    <row r="75" spans="1:5" x14ac:dyDescent="0.2">
      <c r="A75" s="164">
        <f>+A74+1</f>
        <v>58</v>
      </c>
      <c r="B75" t="s">
        <v>920</v>
      </c>
      <c r="C75" s="238">
        <v>39897</v>
      </c>
      <c r="D75" s="238">
        <v>39897</v>
      </c>
      <c r="E75" t="s">
        <v>347</v>
      </c>
    </row>
    <row r="76" spans="1:5" x14ac:dyDescent="0.2">
      <c r="A76" s="164">
        <f>+A75+1</f>
        <v>59</v>
      </c>
      <c r="B76" t="s">
        <v>921</v>
      </c>
      <c r="C76" s="238">
        <v>39897</v>
      </c>
      <c r="D76" s="238">
        <v>39897</v>
      </c>
      <c r="E76" t="s">
        <v>347</v>
      </c>
    </row>
    <row r="77" spans="1:5" x14ac:dyDescent="0.2">
      <c r="A77" s="164">
        <f>+A76+1</f>
        <v>60</v>
      </c>
      <c r="B77" t="s">
        <v>536</v>
      </c>
      <c r="C77" s="238">
        <v>39897</v>
      </c>
      <c r="D77" s="238">
        <v>39897</v>
      </c>
      <c r="E77" t="s">
        <v>347</v>
      </c>
    </row>
    <row r="78" spans="1:5" x14ac:dyDescent="0.2">
      <c r="A78" s="164">
        <f>+A77+1</f>
        <v>61</v>
      </c>
      <c r="B78" t="s">
        <v>297</v>
      </c>
      <c r="C78" s="238">
        <v>39897</v>
      </c>
      <c r="D78" s="238">
        <v>39897</v>
      </c>
      <c r="E78" t="s">
        <v>347</v>
      </c>
    </row>
    <row r="79" spans="1:5" x14ac:dyDescent="0.2">
      <c r="A79" s="164"/>
    </row>
    <row r="80" spans="1:5" x14ac:dyDescent="0.2">
      <c r="A80" s="84"/>
      <c r="B80" s="258" t="s">
        <v>716</v>
      </c>
      <c r="C80" s="84"/>
      <c r="D80" s="84"/>
    </row>
    <row r="81" spans="1:5" x14ac:dyDescent="0.2">
      <c r="A81" s="164">
        <f>+A78+1</f>
        <v>62</v>
      </c>
      <c r="B81" t="s">
        <v>1117</v>
      </c>
      <c r="C81" s="238">
        <v>40106</v>
      </c>
      <c r="D81" s="238">
        <v>40107</v>
      </c>
      <c r="E81" t="s">
        <v>347</v>
      </c>
    </row>
    <row r="82" spans="1:5" x14ac:dyDescent="0.2">
      <c r="A82" s="164"/>
    </row>
    <row r="83" spans="1:5" x14ac:dyDescent="0.2">
      <c r="A83" s="84"/>
      <c r="B83" s="258" t="s">
        <v>1172</v>
      </c>
      <c r="C83" s="84"/>
      <c r="D83" s="84"/>
    </row>
    <row r="84" spans="1:5" x14ac:dyDescent="0.2">
      <c r="A84" s="164">
        <f>+A81+1</f>
        <v>63</v>
      </c>
      <c r="B84" t="s">
        <v>1173</v>
      </c>
      <c r="C84" s="238">
        <v>40168</v>
      </c>
      <c r="D84" s="238">
        <v>40169</v>
      </c>
      <c r="E84" t="s">
        <v>347</v>
      </c>
    </row>
    <row r="85" spans="1:5" x14ac:dyDescent="0.2">
      <c r="A85" s="164">
        <f>+A84+1</f>
        <v>64</v>
      </c>
      <c r="B85" t="s">
        <v>1174</v>
      </c>
      <c r="C85" s="238">
        <v>40169</v>
      </c>
      <c r="D85" s="238">
        <v>40169</v>
      </c>
      <c r="E85" t="s">
        <v>347</v>
      </c>
    </row>
    <row r="86" spans="1:5" x14ac:dyDescent="0.2">
      <c r="A86" s="164">
        <f t="shared" ref="A86:A96" si="4">+A85+1</f>
        <v>65</v>
      </c>
      <c r="B86" t="s">
        <v>1186</v>
      </c>
      <c r="C86" s="238">
        <v>40169</v>
      </c>
      <c r="D86" s="238">
        <v>40169</v>
      </c>
      <c r="E86" t="s">
        <v>347</v>
      </c>
    </row>
    <row r="87" spans="1:5" x14ac:dyDescent="0.2">
      <c r="A87" s="164">
        <f t="shared" si="4"/>
        <v>66</v>
      </c>
      <c r="B87" t="s">
        <v>1187</v>
      </c>
      <c r="C87" s="238">
        <v>40169</v>
      </c>
      <c r="D87" s="238">
        <v>40169</v>
      </c>
      <c r="E87" t="s">
        <v>347</v>
      </c>
    </row>
    <row r="88" spans="1:5" x14ac:dyDescent="0.2">
      <c r="A88" s="164">
        <f t="shared" si="4"/>
        <v>67</v>
      </c>
      <c r="B88" t="s">
        <v>1185</v>
      </c>
      <c r="C88" s="238">
        <v>40169</v>
      </c>
      <c r="D88" s="238">
        <v>40169</v>
      </c>
      <c r="E88" t="s">
        <v>347</v>
      </c>
    </row>
    <row r="89" spans="1:5" x14ac:dyDescent="0.2">
      <c r="A89" s="164">
        <f t="shared" si="4"/>
        <v>68</v>
      </c>
      <c r="B89" t="s">
        <v>1188</v>
      </c>
      <c r="C89" s="238">
        <v>40169</v>
      </c>
      <c r="D89" s="238">
        <v>40169</v>
      </c>
      <c r="E89" t="s">
        <v>347</v>
      </c>
    </row>
    <row r="90" spans="1:5" x14ac:dyDescent="0.2">
      <c r="A90" s="164"/>
    </row>
    <row r="91" spans="1:5" x14ac:dyDescent="0.2">
      <c r="A91" s="84"/>
      <c r="B91" s="258" t="s">
        <v>450</v>
      </c>
      <c r="C91" s="84"/>
      <c r="D91" s="84"/>
    </row>
    <row r="92" spans="1:5" ht="36.75" customHeight="1" x14ac:dyDescent="0.2">
      <c r="A92" s="164">
        <f>+A89+1</f>
        <v>69</v>
      </c>
      <c r="B92" s="316" t="s">
        <v>454</v>
      </c>
      <c r="C92" s="238">
        <v>40183</v>
      </c>
      <c r="D92" s="238">
        <v>39819</v>
      </c>
      <c r="E92" t="s">
        <v>347</v>
      </c>
    </row>
    <row r="93" spans="1:5" x14ac:dyDescent="0.2">
      <c r="A93" s="164">
        <f t="shared" si="4"/>
        <v>70</v>
      </c>
      <c r="B93" t="s">
        <v>451</v>
      </c>
      <c r="C93" s="238">
        <v>40183</v>
      </c>
      <c r="D93" s="238">
        <v>39819</v>
      </c>
      <c r="E93" t="s">
        <v>347</v>
      </c>
    </row>
    <row r="94" spans="1:5" x14ac:dyDescent="0.2">
      <c r="A94" s="164">
        <f t="shared" si="4"/>
        <v>71</v>
      </c>
      <c r="B94" t="s">
        <v>452</v>
      </c>
      <c r="C94" s="238">
        <v>40184</v>
      </c>
      <c r="D94" s="238">
        <v>40184</v>
      </c>
      <c r="E94" t="s">
        <v>347</v>
      </c>
    </row>
    <row r="95" spans="1:5" ht="25.5" x14ac:dyDescent="0.2">
      <c r="A95" s="164">
        <f t="shared" si="4"/>
        <v>72</v>
      </c>
      <c r="B95" s="316" t="s">
        <v>453</v>
      </c>
      <c r="C95" s="238">
        <v>40184</v>
      </c>
      <c r="D95" s="238">
        <v>40184</v>
      </c>
      <c r="E95" t="s">
        <v>347</v>
      </c>
    </row>
    <row r="96" spans="1:5" x14ac:dyDescent="0.2">
      <c r="A96" s="164">
        <f t="shared" si="4"/>
        <v>73</v>
      </c>
      <c r="B96" t="s">
        <v>455</v>
      </c>
      <c r="C96" s="238">
        <v>40184</v>
      </c>
      <c r="D96" s="238">
        <v>40184</v>
      </c>
      <c r="E96" t="s">
        <v>347</v>
      </c>
    </row>
    <row r="97" spans="1:5" x14ac:dyDescent="0.2">
      <c r="A97" s="164"/>
      <c r="C97" s="238"/>
      <c r="D97" s="238"/>
    </row>
    <row r="98" spans="1:5" x14ac:dyDescent="0.2">
      <c r="A98" s="84"/>
      <c r="B98" s="258" t="s">
        <v>1233</v>
      </c>
      <c r="C98" s="84"/>
      <c r="D98" s="84"/>
    </row>
    <row r="99" spans="1:5" x14ac:dyDescent="0.2">
      <c r="A99" s="164">
        <f>+A96+1</f>
        <v>74</v>
      </c>
      <c r="B99" t="s">
        <v>1225</v>
      </c>
      <c r="E99" t="s">
        <v>1220</v>
      </c>
    </row>
    <row r="100" spans="1:5" ht="38.1" customHeight="1" x14ac:dyDescent="0.2">
      <c r="A100" s="164">
        <f>+A99+1</f>
        <v>75</v>
      </c>
      <c r="B100" s="316" t="s">
        <v>1234</v>
      </c>
      <c r="E100" t="s">
        <v>1220</v>
      </c>
    </row>
    <row r="101" spans="1:5" x14ac:dyDescent="0.2">
      <c r="A101" s="164">
        <f>+A100+1</f>
        <v>76</v>
      </c>
      <c r="B101" t="s">
        <v>1235</v>
      </c>
      <c r="E101" t="s">
        <v>1220</v>
      </c>
    </row>
    <row r="102" spans="1:5" x14ac:dyDescent="0.2">
      <c r="A102" s="164">
        <f>+A101+1</f>
        <v>77</v>
      </c>
      <c r="B102" t="s">
        <v>1236</v>
      </c>
      <c r="E102" t="s">
        <v>1220</v>
      </c>
    </row>
    <row r="103" spans="1:5" x14ac:dyDescent="0.2">
      <c r="A103" s="164"/>
    </row>
    <row r="104" spans="1:5" x14ac:dyDescent="0.2">
      <c r="A104" s="84"/>
      <c r="B104" s="505" t="s">
        <v>1230</v>
      </c>
      <c r="C104" s="84"/>
      <c r="D104" s="84"/>
    </row>
    <row r="105" spans="1:5" ht="25.5" customHeight="1" x14ac:dyDescent="0.2">
      <c r="A105" s="164">
        <f>+A102+1</f>
        <v>78</v>
      </c>
      <c r="B105" s="316" t="s">
        <v>1232</v>
      </c>
      <c r="C105" s="238">
        <v>40248</v>
      </c>
      <c r="D105" s="238">
        <v>40248</v>
      </c>
      <c r="E105" t="s">
        <v>347</v>
      </c>
    </row>
    <row r="106" spans="1:5" ht="36.75" customHeight="1" x14ac:dyDescent="0.2">
      <c r="A106" s="164">
        <f>+A105+1</f>
        <v>79</v>
      </c>
      <c r="B106" s="316" t="s">
        <v>1231</v>
      </c>
      <c r="C106" s="238">
        <v>40248</v>
      </c>
      <c r="D106" s="238">
        <v>40248</v>
      </c>
      <c r="E106" t="s">
        <v>347</v>
      </c>
    </row>
    <row r="107" spans="1:5" ht="25.5" customHeight="1" x14ac:dyDescent="0.2">
      <c r="A107" s="164">
        <f>+A106+1</f>
        <v>80</v>
      </c>
      <c r="B107" s="316" t="s">
        <v>36</v>
      </c>
      <c r="C107" s="238">
        <v>40248</v>
      </c>
      <c r="D107" s="238">
        <v>40248</v>
      </c>
      <c r="E107" t="s">
        <v>347</v>
      </c>
    </row>
    <row r="108" spans="1:5" x14ac:dyDescent="0.2">
      <c r="A108" s="164"/>
      <c r="B108" s="316"/>
      <c r="C108" s="238"/>
      <c r="D108" s="238"/>
    </row>
    <row r="109" spans="1:5" x14ac:dyDescent="0.2">
      <c r="A109" s="84"/>
      <c r="B109" s="505" t="s">
        <v>1229</v>
      </c>
      <c r="C109" s="84"/>
      <c r="D109" s="84"/>
    </row>
    <row r="110" spans="1:5" x14ac:dyDescent="0.2">
      <c r="A110" s="164">
        <f>+A107+1</f>
        <v>81</v>
      </c>
      <c r="B110" s="316" t="s">
        <v>33</v>
      </c>
      <c r="C110" s="238">
        <v>40248</v>
      </c>
      <c r="D110" s="238">
        <v>40248</v>
      </c>
      <c r="E110" t="s">
        <v>347</v>
      </c>
    </row>
    <row r="111" spans="1:5" ht="38.25" x14ac:dyDescent="0.2">
      <c r="A111" s="164">
        <f t="shared" ref="A111:A131" si="5">+A110+1</f>
        <v>82</v>
      </c>
      <c r="B111" s="316" t="s">
        <v>35</v>
      </c>
      <c r="C111" s="238">
        <v>40248</v>
      </c>
      <c r="D111" s="238">
        <v>40248</v>
      </c>
      <c r="E111" t="s">
        <v>347</v>
      </c>
    </row>
    <row r="112" spans="1:5" ht="25.5" x14ac:dyDescent="0.2">
      <c r="A112" s="164">
        <f t="shared" si="5"/>
        <v>83</v>
      </c>
      <c r="B112" s="316" t="s">
        <v>37</v>
      </c>
      <c r="C112" s="238">
        <v>40248</v>
      </c>
      <c r="D112" s="238">
        <v>40248</v>
      </c>
      <c r="E112" t="s">
        <v>347</v>
      </c>
    </row>
    <row r="113" spans="1:5" x14ac:dyDescent="0.2">
      <c r="A113" s="164">
        <f t="shared" si="5"/>
        <v>84</v>
      </c>
      <c r="B113" s="316" t="s">
        <v>677</v>
      </c>
      <c r="C113" s="238">
        <v>40248</v>
      </c>
      <c r="D113" s="238">
        <v>40248</v>
      </c>
      <c r="E113" t="s">
        <v>347</v>
      </c>
    </row>
    <row r="114" spans="1:5" x14ac:dyDescent="0.2">
      <c r="A114" s="164">
        <f t="shared" si="5"/>
        <v>85</v>
      </c>
      <c r="B114" s="316" t="s">
        <v>676</v>
      </c>
      <c r="C114" s="238">
        <v>40248</v>
      </c>
      <c r="D114" s="238">
        <v>40248</v>
      </c>
      <c r="E114" t="s">
        <v>347</v>
      </c>
    </row>
    <row r="115" spans="1:5" x14ac:dyDescent="0.2">
      <c r="A115" s="164">
        <f t="shared" si="5"/>
        <v>86</v>
      </c>
      <c r="B115" s="316" t="s">
        <v>968</v>
      </c>
      <c r="C115" s="238">
        <v>40249</v>
      </c>
      <c r="D115" s="238">
        <v>40249</v>
      </c>
      <c r="E115" t="s">
        <v>347</v>
      </c>
    </row>
    <row r="116" spans="1:5" x14ac:dyDescent="0.2">
      <c r="A116" s="164">
        <f t="shared" si="5"/>
        <v>87</v>
      </c>
      <c r="B116" s="316" t="s">
        <v>969</v>
      </c>
      <c r="C116" s="238">
        <v>40249</v>
      </c>
      <c r="D116" s="238">
        <v>40249</v>
      </c>
      <c r="E116" t="s">
        <v>347</v>
      </c>
    </row>
    <row r="117" spans="1:5" x14ac:dyDescent="0.2">
      <c r="A117" s="164">
        <f t="shared" si="5"/>
        <v>88</v>
      </c>
      <c r="B117" s="316" t="s">
        <v>970</v>
      </c>
      <c r="C117" s="238">
        <v>40249</v>
      </c>
      <c r="D117" s="238">
        <v>40249</v>
      </c>
      <c r="E117" t="s">
        <v>347</v>
      </c>
    </row>
    <row r="118" spans="1:5" x14ac:dyDescent="0.2">
      <c r="A118" s="164">
        <f t="shared" si="5"/>
        <v>89</v>
      </c>
      <c r="B118" s="316" t="s">
        <v>971</v>
      </c>
      <c r="C118" s="238">
        <v>40249</v>
      </c>
      <c r="D118" s="238">
        <v>40249</v>
      </c>
      <c r="E118" t="s">
        <v>347</v>
      </c>
    </row>
    <row r="119" spans="1:5" x14ac:dyDescent="0.2">
      <c r="A119" s="164">
        <f t="shared" si="5"/>
        <v>90</v>
      </c>
      <c r="B119" s="316" t="s">
        <v>972</v>
      </c>
      <c r="C119" s="238">
        <v>40249</v>
      </c>
      <c r="D119" s="238">
        <v>40249</v>
      </c>
      <c r="E119" t="s">
        <v>347</v>
      </c>
    </row>
    <row r="120" spans="1:5" x14ac:dyDescent="0.2">
      <c r="A120" s="164">
        <f t="shared" si="5"/>
        <v>91</v>
      </c>
      <c r="B120" s="316" t="s">
        <v>973</v>
      </c>
      <c r="C120" s="238">
        <v>40249</v>
      </c>
      <c r="D120" s="238">
        <v>40249</v>
      </c>
      <c r="E120" t="s">
        <v>347</v>
      </c>
    </row>
    <row r="121" spans="1:5" x14ac:dyDescent="0.2">
      <c r="A121" s="164">
        <f t="shared" si="5"/>
        <v>92</v>
      </c>
      <c r="B121" s="316" t="s">
        <v>974</v>
      </c>
      <c r="C121" s="238">
        <v>40249</v>
      </c>
      <c r="D121" s="238">
        <v>40249</v>
      </c>
      <c r="E121" t="s">
        <v>347</v>
      </c>
    </row>
    <row r="122" spans="1:5" x14ac:dyDescent="0.2">
      <c r="A122" s="164">
        <f t="shared" si="5"/>
        <v>93</v>
      </c>
      <c r="B122" s="316" t="s">
        <v>975</v>
      </c>
      <c r="C122" s="238">
        <v>40249</v>
      </c>
      <c r="D122" s="238">
        <v>40249</v>
      </c>
      <c r="E122" t="s">
        <v>347</v>
      </c>
    </row>
    <row r="123" spans="1:5" x14ac:dyDescent="0.2">
      <c r="A123" s="164">
        <f t="shared" si="5"/>
        <v>94</v>
      </c>
      <c r="B123" s="316" t="s">
        <v>976</v>
      </c>
      <c r="C123" s="238">
        <v>40249</v>
      </c>
      <c r="D123" s="238">
        <v>40249</v>
      </c>
      <c r="E123" t="s">
        <v>347</v>
      </c>
    </row>
    <row r="124" spans="1:5" x14ac:dyDescent="0.2">
      <c r="A124" s="164">
        <f t="shared" si="5"/>
        <v>95</v>
      </c>
      <c r="B124" s="316" t="s">
        <v>977</v>
      </c>
      <c r="C124" s="238">
        <v>40249</v>
      </c>
      <c r="D124" s="238">
        <v>40249</v>
      </c>
      <c r="E124" t="s">
        <v>347</v>
      </c>
    </row>
    <row r="125" spans="1:5" x14ac:dyDescent="0.2">
      <c r="A125" s="164">
        <f t="shared" si="5"/>
        <v>96</v>
      </c>
      <c r="B125" s="316" t="s">
        <v>978</v>
      </c>
      <c r="C125" s="238">
        <v>40249</v>
      </c>
      <c r="D125" s="238">
        <v>40249</v>
      </c>
      <c r="E125" t="s">
        <v>347</v>
      </c>
    </row>
    <row r="126" spans="1:5" x14ac:dyDescent="0.2">
      <c r="A126" s="164">
        <f t="shared" si="5"/>
        <v>97</v>
      </c>
      <c r="B126" s="316" t="s">
        <v>979</v>
      </c>
      <c r="C126" s="238">
        <v>40249</v>
      </c>
      <c r="D126" s="238">
        <v>40249</v>
      </c>
      <c r="E126" t="s">
        <v>347</v>
      </c>
    </row>
    <row r="127" spans="1:5" x14ac:dyDescent="0.2">
      <c r="A127" s="164">
        <f t="shared" si="5"/>
        <v>98</v>
      </c>
      <c r="B127" s="316" t="s">
        <v>300</v>
      </c>
      <c r="C127" s="238">
        <v>40249</v>
      </c>
      <c r="D127" s="238">
        <v>40249</v>
      </c>
      <c r="E127" t="s">
        <v>347</v>
      </c>
    </row>
    <row r="128" spans="1:5" x14ac:dyDescent="0.2">
      <c r="A128" s="164">
        <f t="shared" si="5"/>
        <v>99</v>
      </c>
      <c r="B128" s="316" t="s">
        <v>301</v>
      </c>
      <c r="C128" s="238">
        <v>40249</v>
      </c>
      <c r="D128" s="238">
        <v>40249</v>
      </c>
      <c r="E128" t="s">
        <v>347</v>
      </c>
    </row>
    <row r="129" spans="1:5" x14ac:dyDescent="0.2">
      <c r="A129" s="164">
        <f t="shared" si="5"/>
        <v>100</v>
      </c>
      <c r="B129" s="316" t="s">
        <v>302</v>
      </c>
      <c r="C129" s="238">
        <v>40249</v>
      </c>
      <c r="D129" s="238">
        <v>40249</v>
      </c>
      <c r="E129" t="s">
        <v>347</v>
      </c>
    </row>
    <row r="130" spans="1:5" x14ac:dyDescent="0.2">
      <c r="A130" s="164">
        <f t="shared" si="5"/>
        <v>101</v>
      </c>
      <c r="B130" s="316" t="s">
        <v>303</v>
      </c>
      <c r="C130" s="238">
        <v>40249</v>
      </c>
      <c r="D130" s="238">
        <v>40249</v>
      </c>
      <c r="E130" t="s">
        <v>347</v>
      </c>
    </row>
    <row r="131" spans="1:5" x14ac:dyDescent="0.2">
      <c r="A131" s="164">
        <f t="shared" si="5"/>
        <v>102</v>
      </c>
      <c r="B131" s="316" t="s">
        <v>304</v>
      </c>
      <c r="C131" s="238">
        <v>40249</v>
      </c>
      <c r="D131" s="238">
        <v>40249</v>
      </c>
      <c r="E131" t="s">
        <v>347</v>
      </c>
    </row>
    <row r="132" spans="1:5" x14ac:dyDescent="0.2">
      <c r="A132" s="164"/>
    </row>
    <row r="133" spans="1:5" x14ac:dyDescent="0.2">
      <c r="A133" s="84"/>
      <c r="B133" s="505" t="s">
        <v>1362</v>
      </c>
      <c r="C133" s="84"/>
      <c r="D133" s="84"/>
    </row>
    <row r="134" spans="1:5" x14ac:dyDescent="0.2">
      <c r="A134" s="164">
        <f>+A131+1</f>
        <v>103</v>
      </c>
      <c r="B134" t="s">
        <v>741</v>
      </c>
      <c r="C134" s="238">
        <v>40547</v>
      </c>
      <c r="D134" s="238">
        <v>40182</v>
      </c>
      <c r="E134" t="s">
        <v>1220</v>
      </c>
    </row>
    <row r="135" spans="1:5" x14ac:dyDescent="0.2">
      <c r="A135" s="164">
        <f>+A134+1</f>
        <v>104</v>
      </c>
      <c r="B135" t="s">
        <v>1378</v>
      </c>
      <c r="C135" s="238">
        <v>40547</v>
      </c>
      <c r="D135" s="238">
        <v>40182</v>
      </c>
      <c r="E135" t="s">
        <v>1220</v>
      </c>
    </row>
    <row r="136" spans="1:5" x14ac:dyDescent="0.2">
      <c r="A136" s="164">
        <f>+A135+1</f>
        <v>105</v>
      </c>
      <c r="B136" t="s">
        <v>740</v>
      </c>
      <c r="C136" s="238">
        <v>40547</v>
      </c>
      <c r="D136" s="238">
        <v>40182</v>
      </c>
      <c r="E136" t="s">
        <v>1220</v>
      </c>
    </row>
    <row r="137" spans="1:5" x14ac:dyDescent="0.2">
      <c r="A137" s="164">
        <f t="shared" ref="A137:A142" si="6">+A136+1</f>
        <v>106</v>
      </c>
      <c r="B137" t="s">
        <v>308</v>
      </c>
      <c r="C137" s="238">
        <v>40548</v>
      </c>
      <c r="D137" s="238">
        <v>40183</v>
      </c>
      <c r="E137" t="s">
        <v>309</v>
      </c>
    </row>
    <row r="138" spans="1:5" x14ac:dyDescent="0.2">
      <c r="A138" s="164">
        <f t="shared" si="6"/>
        <v>107</v>
      </c>
      <c r="B138" t="s">
        <v>310</v>
      </c>
      <c r="C138" s="238">
        <v>40548</v>
      </c>
      <c r="D138" s="238">
        <v>40183</v>
      </c>
      <c r="E138" t="s">
        <v>309</v>
      </c>
    </row>
    <row r="139" spans="1:5" ht="38.25" x14ac:dyDescent="0.2">
      <c r="A139" s="164">
        <f t="shared" si="6"/>
        <v>108</v>
      </c>
      <c r="B139" s="316" t="s">
        <v>311</v>
      </c>
      <c r="C139" s="238">
        <v>40548</v>
      </c>
      <c r="D139" s="238">
        <v>40183</v>
      </c>
      <c r="E139" t="s">
        <v>309</v>
      </c>
    </row>
    <row r="140" spans="1:5" ht="25.5" x14ac:dyDescent="0.2">
      <c r="A140" s="164">
        <f t="shared" si="6"/>
        <v>109</v>
      </c>
      <c r="B140" s="316" t="s">
        <v>312</v>
      </c>
      <c r="C140" s="238">
        <v>40548</v>
      </c>
      <c r="D140" s="238">
        <v>40183</v>
      </c>
      <c r="E140" t="s">
        <v>309</v>
      </c>
    </row>
    <row r="141" spans="1:5" ht="25.5" x14ac:dyDescent="0.2">
      <c r="A141" s="164">
        <f t="shared" si="6"/>
        <v>110</v>
      </c>
      <c r="B141" s="316" t="s">
        <v>318</v>
      </c>
      <c r="C141" s="508">
        <v>40548</v>
      </c>
      <c r="E141" t="s">
        <v>309</v>
      </c>
    </row>
    <row r="142" spans="1:5" x14ac:dyDescent="0.2">
      <c r="A142" s="164">
        <f t="shared" si="6"/>
        <v>111</v>
      </c>
      <c r="B142" s="316" t="s">
        <v>319</v>
      </c>
      <c r="C142" s="508">
        <v>40548</v>
      </c>
      <c r="E142" t="s">
        <v>309</v>
      </c>
    </row>
    <row r="143" spans="1:5" x14ac:dyDescent="0.2">
      <c r="A143" s="164">
        <f>+A142+1</f>
        <v>112</v>
      </c>
      <c r="B143" s="316" t="s">
        <v>962</v>
      </c>
      <c r="C143" s="509">
        <v>40553</v>
      </c>
      <c r="E143" t="s">
        <v>1220</v>
      </c>
    </row>
    <row r="144" spans="1:5" x14ac:dyDescent="0.2">
      <c r="A144" s="164">
        <f>+A143+1</f>
        <v>113</v>
      </c>
      <c r="B144" s="316" t="s">
        <v>1335</v>
      </c>
      <c r="C144" s="238">
        <v>40557</v>
      </c>
      <c r="E144" t="s">
        <v>1220</v>
      </c>
    </row>
    <row r="145" spans="1:5" x14ac:dyDescent="0.2">
      <c r="A145" s="164">
        <f>+A144+1</f>
        <v>114</v>
      </c>
      <c r="B145" s="316" t="s">
        <v>1125</v>
      </c>
      <c r="C145" s="238">
        <v>40619</v>
      </c>
      <c r="D145" s="238">
        <v>40619</v>
      </c>
      <c r="E145" t="s">
        <v>1220</v>
      </c>
    </row>
    <row r="146" spans="1:5" x14ac:dyDescent="0.2">
      <c r="A146" s="164">
        <f>+A145+1</f>
        <v>115</v>
      </c>
      <c r="B146" s="316" t="s">
        <v>1124</v>
      </c>
      <c r="C146" s="238">
        <v>40619</v>
      </c>
      <c r="D146" s="238">
        <v>40619</v>
      </c>
      <c r="E146" t="s">
        <v>1220</v>
      </c>
    </row>
    <row r="147" spans="1:5" x14ac:dyDescent="0.2">
      <c r="A147" s="164">
        <f>+A146+1</f>
        <v>116</v>
      </c>
      <c r="B147" s="316" t="s">
        <v>1126</v>
      </c>
      <c r="C147" s="238">
        <v>40619</v>
      </c>
      <c r="D147" s="238">
        <v>40619</v>
      </c>
      <c r="E147" t="s">
        <v>1220</v>
      </c>
    </row>
    <row r="149" spans="1:5" x14ac:dyDescent="0.2">
      <c r="A149" s="84"/>
      <c r="B149" s="505" t="s">
        <v>948</v>
      </c>
      <c r="C149" s="84"/>
      <c r="D149" s="84"/>
    </row>
    <row r="150" spans="1:5" x14ac:dyDescent="0.2">
      <c r="A150" s="164">
        <f>+A147+1</f>
        <v>117</v>
      </c>
      <c r="B150" s="316" t="s">
        <v>949</v>
      </c>
      <c r="C150" s="238">
        <v>40905</v>
      </c>
      <c r="E150" t="s">
        <v>1220</v>
      </c>
    </row>
    <row r="151" spans="1:5" x14ac:dyDescent="0.2">
      <c r="A151" s="164">
        <f t="shared" ref="A151:A165" si="7">+A150+1</f>
        <v>118</v>
      </c>
      <c r="B151" s="316" t="s">
        <v>1312</v>
      </c>
      <c r="C151" s="238">
        <v>40905</v>
      </c>
      <c r="E151" t="s">
        <v>1220</v>
      </c>
    </row>
    <row r="152" spans="1:5" ht="51" x14ac:dyDescent="0.2">
      <c r="A152" s="164">
        <f t="shared" si="7"/>
        <v>119</v>
      </c>
      <c r="B152" s="316" t="s">
        <v>1313</v>
      </c>
      <c r="C152" s="238">
        <v>40905</v>
      </c>
      <c r="E152" t="s">
        <v>1220</v>
      </c>
    </row>
    <row r="153" spans="1:5" x14ac:dyDescent="0.2">
      <c r="A153" s="164">
        <f t="shared" si="7"/>
        <v>120</v>
      </c>
      <c r="B153" s="316" t="s">
        <v>308</v>
      </c>
      <c r="C153" s="238">
        <v>40905</v>
      </c>
      <c r="E153" t="s">
        <v>1220</v>
      </c>
    </row>
    <row r="154" spans="1:5" x14ac:dyDescent="0.2">
      <c r="A154" s="164">
        <f t="shared" si="7"/>
        <v>121</v>
      </c>
      <c r="B154" s="316" t="s">
        <v>310</v>
      </c>
      <c r="C154" s="238">
        <v>40905</v>
      </c>
      <c r="E154" t="s">
        <v>1220</v>
      </c>
    </row>
    <row r="155" spans="1:5" ht="25.5" x14ac:dyDescent="0.2">
      <c r="A155" s="164">
        <f t="shared" si="7"/>
        <v>122</v>
      </c>
      <c r="B155" s="316" t="s">
        <v>30</v>
      </c>
      <c r="C155" s="238">
        <v>40925</v>
      </c>
      <c r="D155" s="238">
        <v>40925</v>
      </c>
      <c r="E155" t="s">
        <v>309</v>
      </c>
    </row>
    <row r="156" spans="1:5" ht="25.5" x14ac:dyDescent="0.2">
      <c r="A156" s="164">
        <f t="shared" si="7"/>
        <v>123</v>
      </c>
      <c r="B156" s="316" t="s">
        <v>29</v>
      </c>
      <c r="C156" s="238">
        <v>40925</v>
      </c>
      <c r="D156" s="238">
        <v>40925</v>
      </c>
      <c r="E156" t="s">
        <v>309</v>
      </c>
    </row>
    <row r="157" spans="1:5" x14ac:dyDescent="0.2">
      <c r="A157" s="164">
        <f t="shared" si="7"/>
        <v>124</v>
      </c>
      <c r="B157" s="316" t="s">
        <v>276</v>
      </c>
      <c r="C157" s="238">
        <v>40925</v>
      </c>
      <c r="D157" s="238">
        <v>40926</v>
      </c>
      <c r="E157" t="s">
        <v>309</v>
      </c>
    </row>
    <row r="158" spans="1:5" x14ac:dyDescent="0.2">
      <c r="A158" s="164">
        <f t="shared" si="7"/>
        <v>125</v>
      </c>
      <c r="B158" s="316" t="s">
        <v>1064</v>
      </c>
      <c r="C158" s="238">
        <v>40926</v>
      </c>
      <c r="D158" s="238">
        <v>40926</v>
      </c>
      <c r="E158" t="s">
        <v>309</v>
      </c>
    </row>
    <row r="159" spans="1:5" ht="25.5" x14ac:dyDescent="0.2">
      <c r="A159" s="164">
        <f t="shared" si="7"/>
        <v>126</v>
      </c>
      <c r="B159" s="316" t="s">
        <v>1073</v>
      </c>
      <c r="C159" s="238">
        <v>40926</v>
      </c>
      <c r="D159" s="238">
        <v>40926</v>
      </c>
      <c r="E159" t="s">
        <v>309</v>
      </c>
    </row>
    <row r="160" spans="1:5" ht="25.5" x14ac:dyDescent="0.2">
      <c r="A160" s="164">
        <f t="shared" si="7"/>
        <v>127</v>
      </c>
      <c r="B160" s="316" t="s">
        <v>1072</v>
      </c>
      <c r="C160" s="238">
        <v>40926</v>
      </c>
      <c r="D160" s="238">
        <v>40926</v>
      </c>
      <c r="E160" t="s">
        <v>309</v>
      </c>
    </row>
    <row r="161" spans="1:5" x14ac:dyDescent="0.2">
      <c r="A161" s="164">
        <f t="shared" si="7"/>
        <v>128</v>
      </c>
      <c r="B161" s="316" t="s">
        <v>1074</v>
      </c>
      <c r="C161" s="238">
        <v>40926</v>
      </c>
      <c r="D161" s="238">
        <v>40926</v>
      </c>
      <c r="E161" t="s">
        <v>309</v>
      </c>
    </row>
    <row r="162" spans="1:5" x14ac:dyDescent="0.2">
      <c r="A162" s="164">
        <f t="shared" si="7"/>
        <v>129</v>
      </c>
      <c r="B162" s="316" t="s">
        <v>1237</v>
      </c>
      <c r="C162" s="238">
        <v>40926</v>
      </c>
      <c r="D162" s="238">
        <v>40927</v>
      </c>
      <c r="E162" t="s">
        <v>309</v>
      </c>
    </row>
    <row r="163" spans="1:5" x14ac:dyDescent="0.2">
      <c r="A163" s="164">
        <f t="shared" si="7"/>
        <v>130</v>
      </c>
      <c r="B163" s="316" t="s">
        <v>533</v>
      </c>
      <c r="C163" s="238">
        <v>40928</v>
      </c>
      <c r="D163" s="238">
        <v>40928</v>
      </c>
      <c r="E163" t="s">
        <v>309</v>
      </c>
    </row>
    <row r="164" spans="1:5" ht="25.5" x14ac:dyDescent="0.2">
      <c r="A164" s="164">
        <f t="shared" si="7"/>
        <v>131</v>
      </c>
      <c r="B164" s="316" t="s">
        <v>534</v>
      </c>
      <c r="C164" s="238">
        <v>40928</v>
      </c>
      <c r="D164" s="238">
        <v>40928</v>
      </c>
      <c r="E164" t="s">
        <v>309</v>
      </c>
    </row>
    <row r="165" spans="1:5" x14ac:dyDescent="0.2">
      <c r="A165" s="164">
        <f t="shared" si="7"/>
        <v>132</v>
      </c>
      <c r="B165" s="316" t="s">
        <v>535</v>
      </c>
      <c r="C165" s="238">
        <v>40928</v>
      </c>
      <c r="D165" s="238">
        <v>40928</v>
      </c>
      <c r="E165" t="s">
        <v>309</v>
      </c>
    </row>
    <row r="166" spans="1:5" x14ac:dyDescent="0.2">
      <c r="A166" s="164"/>
    </row>
    <row r="168" spans="1:5" x14ac:dyDescent="0.2">
      <c r="A168" s="84"/>
      <c r="B168" s="505" t="s">
        <v>1406</v>
      </c>
      <c r="C168" s="84"/>
      <c r="D168" s="84"/>
    </row>
    <row r="169" spans="1:5" x14ac:dyDescent="0.2">
      <c r="A169" s="164">
        <f>+A165+1</f>
        <v>133</v>
      </c>
      <c r="B169" s="316" t="s">
        <v>928</v>
      </c>
      <c r="C169" s="238">
        <v>41253</v>
      </c>
      <c r="D169" s="238">
        <v>40917</v>
      </c>
      <c r="E169" t="s">
        <v>927</v>
      </c>
    </row>
    <row r="170" spans="1:5" x14ac:dyDescent="0.2">
      <c r="A170" s="164">
        <f t="shared" ref="A170:A182" si="8">+A169+1</f>
        <v>134</v>
      </c>
      <c r="B170" s="316" t="s">
        <v>1414</v>
      </c>
      <c r="C170" s="238">
        <v>41253</v>
      </c>
      <c r="E170" t="s">
        <v>1220</v>
      </c>
    </row>
    <row r="171" spans="1:5" x14ac:dyDescent="0.2">
      <c r="A171" s="164">
        <f t="shared" si="8"/>
        <v>135</v>
      </c>
      <c r="B171" s="316" t="s">
        <v>1413</v>
      </c>
      <c r="C171" s="238">
        <v>41254</v>
      </c>
      <c r="E171" t="s">
        <v>1220</v>
      </c>
    </row>
    <row r="172" spans="1:5" x14ac:dyDescent="0.2">
      <c r="A172" s="164">
        <f t="shared" si="8"/>
        <v>136</v>
      </c>
      <c r="B172" s="316" t="s">
        <v>308</v>
      </c>
      <c r="C172" s="238">
        <v>41254</v>
      </c>
      <c r="E172" t="s">
        <v>1220</v>
      </c>
    </row>
    <row r="173" spans="1:5" x14ac:dyDescent="0.2">
      <c r="A173" s="164">
        <f t="shared" si="8"/>
        <v>137</v>
      </c>
      <c r="B173" s="316" t="s">
        <v>310</v>
      </c>
      <c r="C173" s="238">
        <v>41254</v>
      </c>
      <c r="E173" t="s">
        <v>1220</v>
      </c>
    </row>
    <row r="174" spans="1:5" x14ac:dyDescent="0.2">
      <c r="A174" s="164">
        <f t="shared" si="8"/>
        <v>138</v>
      </c>
      <c r="B174" s="316" t="s">
        <v>932</v>
      </c>
      <c r="C174" s="238">
        <v>41283</v>
      </c>
      <c r="D174" s="238">
        <v>41283</v>
      </c>
      <c r="E174" t="s">
        <v>309</v>
      </c>
    </row>
    <row r="175" spans="1:5" x14ac:dyDescent="0.2">
      <c r="A175" s="164">
        <f t="shared" si="8"/>
        <v>139</v>
      </c>
      <c r="B175" s="316" t="s">
        <v>933</v>
      </c>
      <c r="C175" s="238">
        <v>41283</v>
      </c>
      <c r="D175" s="238">
        <v>41283</v>
      </c>
      <c r="E175" t="s">
        <v>309</v>
      </c>
    </row>
    <row r="176" spans="1:5" x14ac:dyDescent="0.2">
      <c r="A176" s="164">
        <f t="shared" si="8"/>
        <v>140</v>
      </c>
      <c r="B176" s="316" t="s">
        <v>313</v>
      </c>
      <c r="C176" s="238">
        <v>41283</v>
      </c>
      <c r="D176" s="238">
        <v>41284</v>
      </c>
      <c r="E176" t="s">
        <v>309</v>
      </c>
    </row>
    <row r="177" spans="1:5" x14ac:dyDescent="0.2">
      <c r="A177" s="164">
        <f t="shared" si="8"/>
        <v>141</v>
      </c>
      <c r="B177" s="316" t="s">
        <v>315</v>
      </c>
      <c r="C177" s="238">
        <v>41284</v>
      </c>
      <c r="D177" s="238">
        <v>41284</v>
      </c>
      <c r="E177" t="s">
        <v>309</v>
      </c>
    </row>
    <row r="178" spans="1:5" ht="25.5" x14ac:dyDescent="0.2">
      <c r="A178" s="164">
        <f t="shared" si="8"/>
        <v>142</v>
      </c>
      <c r="B178" s="316" t="s">
        <v>316</v>
      </c>
      <c r="C178" s="238">
        <v>41284</v>
      </c>
      <c r="D178" s="238">
        <v>41284</v>
      </c>
      <c r="E178" t="s">
        <v>309</v>
      </c>
    </row>
    <row r="179" spans="1:5" ht="25.5" x14ac:dyDescent="0.2">
      <c r="A179" s="164">
        <f t="shared" si="8"/>
        <v>143</v>
      </c>
      <c r="B179" s="316" t="s">
        <v>317</v>
      </c>
      <c r="C179" s="238">
        <v>41284</v>
      </c>
      <c r="D179" s="238">
        <v>41284</v>
      </c>
      <c r="E179" t="s">
        <v>309</v>
      </c>
    </row>
    <row r="180" spans="1:5" ht="51" x14ac:dyDescent="0.2">
      <c r="A180" s="164">
        <f t="shared" si="8"/>
        <v>144</v>
      </c>
      <c r="B180" s="316" t="s">
        <v>420</v>
      </c>
      <c r="C180" s="238">
        <v>41284</v>
      </c>
      <c r="D180" s="238">
        <v>41284</v>
      </c>
      <c r="E180" t="s">
        <v>309</v>
      </c>
    </row>
    <row r="181" spans="1:5" ht="25.5" x14ac:dyDescent="0.2">
      <c r="A181" s="164">
        <f t="shared" si="8"/>
        <v>145</v>
      </c>
      <c r="B181" s="316" t="s">
        <v>426</v>
      </c>
      <c r="C181" s="238">
        <v>41284</v>
      </c>
      <c r="D181" s="238">
        <v>41284</v>
      </c>
      <c r="E181" t="s">
        <v>309</v>
      </c>
    </row>
    <row r="182" spans="1:5" x14ac:dyDescent="0.2">
      <c r="A182" s="164">
        <f t="shared" si="8"/>
        <v>146</v>
      </c>
      <c r="B182" s="316" t="s">
        <v>535</v>
      </c>
      <c r="C182" s="238">
        <v>41284</v>
      </c>
      <c r="D182" s="238">
        <v>41284</v>
      </c>
      <c r="E182" t="s">
        <v>309</v>
      </c>
    </row>
    <row r="183" spans="1:5" x14ac:dyDescent="0.2">
      <c r="A183" s="164"/>
    </row>
    <row r="184" spans="1:5" x14ac:dyDescent="0.2">
      <c r="A184" s="164"/>
    </row>
    <row r="185" spans="1:5" x14ac:dyDescent="0.2">
      <c r="A185" s="84"/>
      <c r="B185" s="505" t="s">
        <v>1221</v>
      </c>
      <c r="C185" s="84"/>
      <c r="D185" s="84"/>
    </row>
    <row r="186" spans="1:5" ht="25.5" x14ac:dyDescent="0.2">
      <c r="A186" s="164">
        <f>+A182+1</f>
        <v>147</v>
      </c>
      <c r="B186" s="316" t="s">
        <v>723</v>
      </c>
      <c r="C186" s="238">
        <v>41632</v>
      </c>
      <c r="D186" s="238">
        <v>41646</v>
      </c>
      <c r="E186" t="s">
        <v>724</v>
      </c>
    </row>
    <row r="187" spans="1:5" ht="191.25" x14ac:dyDescent="0.2">
      <c r="A187" s="164">
        <f t="shared" ref="A187:A220" si="9">+A186+1</f>
        <v>148</v>
      </c>
      <c r="B187" s="316" t="s">
        <v>131</v>
      </c>
      <c r="C187" s="238">
        <v>41635</v>
      </c>
      <c r="D187" s="238">
        <v>41647</v>
      </c>
      <c r="E187" t="s">
        <v>724</v>
      </c>
    </row>
    <row r="188" spans="1:5" x14ac:dyDescent="0.2">
      <c r="A188" s="164">
        <f t="shared" si="9"/>
        <v>149</v>
      </c>
      <c r="B188" s="316" t="s">
        <v>768</v>
      </c>
      <c r="C188" s="238">
        <v>41635</v>
      </c>
      <c r="D188" s="238">
        <v>41647</v>
      </c>
      <c r="E188" t="s">
        <v>724</v>
      </c>
    </row>
    <row r="189" spans="1:5" x14ac:dyDescent="0.2">
      <c r="A189" s="164">
        <f t="shared" si="9"/>
        <v>150</v>
      </c>
      <c r="B189" s="316" t="s">
        <v>308</v>
      </c>
      <c r="C189" s="238">
        <v>41635</v>
      </c>
      <c r="E189" t="s">
        <v>1220</v>
      </c>
    </row>
    <row r="190" spans="1:5" x14ac:dyDescent="0.2">
      <c r="A190" s="164">
        <f t="shared" si="9"/>
        <v>151</v>
      </c>
      <c r="B190" s="316" t="s">
        <v>310</v>
      </c>
      <c r="C190" s="238">
        <v>41635</v>
      </c>
      <c r="E190" t="s">
        <v>1220</v>
      </c>
    </row>
    <row r="191" spans="1:5" x14ac:dyDescent="0.2">
      <c r="A191" s="164">
        <f t="shared" si="9"/>
        <v>152</v>
      </c>
      <c r="B191" s="316" t="s">
        <v>1436</v>
      </c>
      <c r="C191" s="238">
        <v>41639</v>
      </c>
      <c r="D191" s="238">
        <v>41639</v>
      </c>
      <c r="E191" t="s">
        <v>309</v>
      </c>
    </row>
    <row r="192" spans="1:5" x14ac:dyDescent="0.2">
      <c r="A192" s="164">
        <f t="shared" si="9"/>
        <v>153</v>
      </c>
      <c r="B192" s="316" t="s">
        <v>43</v>
      </c>
      <c r="C192" s="238">
        <v>41639</v>
      </c>
      <c r="D192" s="238">
        <v>41639</v>
      </c>
      <c r="E192" t="s">
        <v>309</v>
      </c>
    </row>
    <row r="193" spans="1:5" x14ac:dyDescent="0.2">
      <c r="A193" s="164">
        <f t="shared" si="9"/>
        <v>154</v>
      </c>
      <c r="B193" s="316" t="s">
        <v>725</v>
      </c>
      <c r="C193" s="238">
        <v>41646</v>
      </c>
      <c r="D193" s="238">
        <v>41646</v>
      </c>
      <c r="E193" t="s">
        <v>309</v>
      </c>
    </row>
    <row r="194" spans="1:5" x14ac:dyDescent="0.2">
      <c r="A194" s="164">
        <f t="shared" si="9"/>
        <v>155</v>
      </c>
      <c r="B194" s="316" t="s">
        <v>770</v>
      </c>
      <c r="C194" s="238">
        <v>41647</v>
      </c>
      <c r="D194" s="238">
        <v>41647</v>
      </c>
      <c r="E194" t="s">
        <v>309</v>
      </c>
    </row>
    <row r="195" spans="1:5" ht="25.5" x14ac:dyDescent="0.2">
      <c r="A195" s="164">
        <f t="shared" si="9"/>
        <v>156</v>
      </c>
      <c r="B195" s="316" t="s">
        <v>133</v>
      </c>
      <c r="C195" s="238">
        <v>41647</v>
      </c>
      <c r="D195" s="238">
        <v>41647</v>
      </c>
      <c r="E195" t="s">
        <v>309</v>
      </c>
    </row>
    <row r="196" spans="1:5" ht="25.5" x14ac:dyDescent="0.2">
      <c r="A196" s="164">
        <f t="shared" si="9"/>
        <v>157</v>
      </c>
      <c r="B196" s="316" t="s">
        <v>877</v>
      </c>
      <c r="C196" s="238">
        <v>41647</v>
      </c>
      <c r="D196" s="238">
        <v>41647</v>
      </c>
      <c r="E196" t="s">
        <v>309</v>
      </c>
    </row>
    <row r="197" spans="1:5" ht="38.25" x14ac:dyDescent="0.2">
      <c r="A197" s="164">
        <f t="shared" si="9"/>
        <v>158</v>
      </c>
      <c r="B197" s="316" t="s">
        <v>878</v>
      </c>
      <c r="C197" s="238">
        <v>41647</v>
      </c>
      <c r="D197" s="238">
        <v>41647</v>
      </c>
      <c r="E197" t="s">
        <v>309</v>
      </c>
    </row>
    <row r="198" spans="1:5" x14ac:dyDescent="0.2">
      <c r="A198" s="164">
        <f t="shared" si="9"/>
        <v>159</v>
      </c>
      <c r="B198" s="666" t="s">
        <v>904</v>
      </c>
      <c r="C198" s="238">
        <v>41647</v>
      </c>
      <c r="D198" s="238">
        <v>41647</v>
      </c>
      <c r="E198" t="s">
        <v>309</v>
      </c>
    </row>
    <row r="199" spans="1:5" x14ac:dyDescent="0.2">
      <c r="A199" s="164">
        <f t="shared" si="9"/>
        <v>160</v>
      </c>
      <c r="B199" s="316" t="s">
        <v>875</v>
      </c>
      <c r="C199" s="238">
        <v>41648</v>
      </c>
      <c r="D199" s="238">
        <v>41648</v>
      </c>
      <c r="E199" t="s">
        <v>309</v>
      </c>
    </row>
    <row r="200" spans="1:5" x14ac:dyDescent="0.2">
      <c r="A200" s="164">
        <f t="shared" si="9"/>
        <v>161</v>
      </c>
      <c r="B200" s="316" t="s">
        <v>876</v>
      </c>
      <c r="C200" s="238">
        <v>41648</v>
      </c>
      <c r="D200" s="238">
        <v>41648</v>
      </c>
      <c r="E200" t="s">
        <v>309</v>
      </c>
    </row>
    <row r="201" spans="1:5" x14ac:dyDescent="0.2">
      <c r="A201" s="164">
        <f t="shared" si="9"/>
        <v>162</v>
      </c>
      <c r="B201" s="316" t="s">
        <v>906</v>
      </c>
      <c r="C201" s="238">
        <v>41649</v>
      </c>
      <c r="D201" s="238">
        <v>41649</v>
      </c>
      <c r="E201" t="s">
        <v>309</v>
      </c>
    </row>
    <row r="202" spans="1:5" x14ac:dyDescent="0.2">
      <c r="A202" s="164">
        <f t="shared" si="9"/>
        <v>163</v>
      </c>
      <c r="B202" s="316" t="s">
        <v>298</v>
      </c>
      <c r="C202" s="238">
        <v>41653</v>
      </c>
      <c r="D202" s="238">
        <v>41653</v>
      </c>
      <c r="E202" t="s">
        <v>309</v>
      </c>
    </row>
    <row r="203" spans="1:5" x14ac:dyDescent="0.2">
      <c r="A203" s="164">
        <f t="shared" si="9"/>
        <v>164</v>
      </c>
      <c r="B203" s="316" t="s">
        <v>290</v>
      </c>
      <c r="C203" s="238">
        <v>41654</v>
      </c>
      <c r="D203" s="238">
        <v>41654</v>
      </c>
      <c r="E203" t="s">
        <v>309</v>
      </c>
    </row>
    <row r="204" spans="1:5" x14ac:dyDescent="0.2">
      <c r="A204" s="164">
        <f t="shared" si="9"/>
        <v>165</v>
      </c>
      <c r="B204" s="316" t="s">
        <v>291</v>
      </c>
      <c r="C204" s="238">
        <v>41654</v>
      </c>
      <c r="D204" s="238">
        <v>41654</v>
      </c>
      <c r="E204" t="s">
        <v>309</v>
      </c>
    </row>
    <row r="205" spans="1:5" ht="25.5" x14ac:dyDescent="0.2">
      <c r="A205" s="164">
        <f t="shared" si="9"/>
        <v>166</v>
      </c>
      <c r="B205" s="316" t="s">
        <v>292</v>
      </c>
      <c r="C205" s="238">
        <v>41654</v>
      </c>
      <c r="D205" s="238">
        <v>41654</v>
      </c>
      <c r="E205" t="s">
        <v>309</v>
      </c>
    </row>
    <row r="206" spans="1:5" x14ac:dyDescent="0.2">
      <c r="A206" s="164">
        <f t="shared" si="9"/>
        <v>167</v>
      </c>
      <c r="B206" s="316" t="s">
        <v>983</v>
      </c>
      <c r="C206" s="238">
        <v>41654</v>
      </c>
      <c r="D206" s="238">
        <v>41654</v>
      </c>
      <c r="E206" t="s">
        <v>309</v>
      </c>
    </row>
    <row r="207" spans="1:5" ht="38.25" x14ac:dyDescent="0.2">
      <c r="A207" s="164">
        <f t="shared" si="9"/>
        <v>168</v>
      </c>
      <c r="B207" s="316" t="s">
        <v>984</v>
      </c>
      <c r="C207" s="238">
        <v>41654</v>
      </c>
      <c r="D207" s="238">
        <v>41654</v>
      </c>
      <c r="E207" t="s">
        <v>309</v>
      </c>
    </row>
    <row r="208" spans="1:5" ht="25.5" x14ac:dyDescent="0.2">
      <c r="A208" s="164">
        <f t="shared" si="9"/>
        <v>169</v>
      </c>
      <c r="B208" s="316" t="s">
        <v>985</v>
      </c>
      <c r="C208" s="238">
        <v>41654</v>
      </c>
      <c r="D208" s="238">
        <v>41654</v>
      </c>
      <c r="E208" t="s">
        <v>309</v>
      </c>
    </row>
    <row r="209" spans="1:5" ht="38.25" x14ac:dyDescent="0.2">
      <c r="A209" s="164">
        <f t="shared" si="9"/>
        <v>170</v>
      </c>
      <c r="B209" s="316" t="s">
        <v>986</v>
      </c>
      <c r="C209" s="238">
        <v>41654</v>
      </c>
      <c r="D209" s="238">
        <v>41654</v>
      </c>
      <c r="E209" t="s">
        <v>309</v>
      </c>
    </row>
    <row r="210" spans="1:5" ht="25.5" x14ac:dyDescent="0.2">
      <c r="A210" s="164">
        <f t="shared" si="9"/>
        <v>171</v>
      </c>
      <c r="B210" s="671" t="s">
        <v>305</v>
      </c>
      <c r="C210" s="238">
        <v>41654</v>
      </c>
      <c r="D210" s="509">
        <v>41654</v>
      </c>
      <c r="E210" t="s">
        <v>309</v>
      </c>
    </row>
    <row r="211" spans="1:5" x14ac:dyDescent="0.2">
      <c r="A211" s="164">
        <f t="shared" si="9"/>
        <v>172</v>
      </c>
      <c r="B211" s="316" t="s">
        <v>988</v>
      </c>
      <c r="C211" s="238">
        <v>41654</v>
      </c>
      <c r="D211" s="238">
        <v>41654</v>
      </c>
      <c r="E211" t="s">
        <v>309</v>
      </c>
    </row>
    <row r="212" spans="1:5" ht="25.5" x14ac:dyDescent="0.2">
      <c r="A212" s="164">
        <f t="shared" si="9"/>
        <v>173</v>
      </c>
      <c r="B212" s="316" t="s">
        <v>299</v>
      </c>
      <c r="C212" s="238">
        <v>41654</v>
      </c>
      <c r="D212" s="238">
        <v>41654</v>
      </c>
      <c r="E212" t="s">
        <v>309</v>
      </c>
    </row>
    <row r="213" spans="1:5" ht="25.5" x14ac:dyDescent="0.2">
      <c r="A213" s="164">
        <f t="shared" si="9"/>
        <v>174</v>
      </c>
      <c r="B213" s="316" t="s">
        <v>999</v>
      </c>
      <c r="C213" s="238">
        <v>41654</v>
      </c>
      <c r="D213" s="238">
        <v>41654</v>
      </c>
      <c r="E213" t="s">
        <v>309</v>
      </c>
    </row>
    <row r="214" spans="1:5" ht="38.25" x14ac:dyDescent="0.2">
      <c r="A214" s="164">
        <f t="shared" si="9"/>
        <v>175</v>
      </c>
      <c r="B214" s="316" t="s">
        <v>306</v>
      </c>
      <c r="C214" s="238">
        <v>41654</v>
      </c>
      <c r="E214" t="s">
        <v>309</v>
      </c>
    </row>
    <row r="215" spans="1:5" ht="38.25" x14ac:dyDescent="0.2">
      <c r="A215" s="164">
        <f t="shared" si="9"/>
        <v>176</v>
      </c>
      <c r="B215" s="316" t="s">
        <v>307</v>
      </c>
      <c r="C215" s="238">
        <v>41654</v>
      </c>
      <c r="D215" s="238">
        <v>41654</v>
      </c>
      <c r="E215" t="s">
        <v>309</v>
      </c>
    </row>
    <row r="216" spans="1:5" ht="25.5" x14ac:dyDescent="0.2">
      <c r="A216" s="164">
        <f t="shared" si="9"/>
        <v>177</v>
      </c>
      <c r="B216" s="316" t="s">
        <v>991</v>
      </c>
      <c r="C216" s="238">
        <v>41655</v>
      </c>
      <c r="D216" s="238">
        <v>41655</v>
      </c>
      <c r="E216" t="s">
        <v>309</v>
      </c>
    </row>
    <row r="217" spans="1:5" x14ac:dyDescent="0.2">
      <c r="A217" s="164">
        <f t="shared" si="9"/>
        <v>178</v>
      </c>
      <c r="B217" s="316" t="s">
        <v>992</v>
      </c>
      <c r="C217" s="238">
        <v>41655</v>
      </c>
      <c r="E217" t="s">
        <v>309</v>
      </c>
    </row>
    <row r="218" spans="1:5" ht="25.5" x14ac:dyDescent="0.2">
      <c r="A218" s="164">
        <f t="shared" si="9"/>
        <v>179</v>
      </c>
      <c r="B218" s="316" t="s">
        <v>993</v>
      </c>
      <c r="C218" s="238">
        <v>41655</v>
      </c>
      <c r="D218" s="238">
        <v>41655</v>
      </c>
      <c r="E218" t="s">
        <v>309</v>
      </c>
    </row>
    <row r="219" spans="1:5" x14ac:dyDescent="0.2">
      <c r="A219" s="164">
        <f t="shared" si="9"/>
        <v>180</v>
      </c>
      <c r="B219" s="316" t="s">
        <v>997</v>
      </c>
      <c r="C219" s="238">
        <v>41655</v>
      </c>
      <c r="D219" s="238">
        <v>41655</v>
      </c>
      <c r="E219" t="s">
        <v>309</v>
      </c>
    </row>
    <row r="220" spans="1:5" x14ac:dyDescent="0.2">
      <c r="A220" s="164">
        <f t="shared" si="9"/>
        <v>181</v>
      </c>
      <c r="B220" s="316" t="s">
        <v>998</v>
      </c>
      <c r="C220" s="238">
        <v>41655</v>
      </c>
      <c r="D220" s="238">
        <v>41655</v>
      </c>
      <c r="E220" t="s">
        <v>309</v>
      </c>
    </row>
    <row r="222" spans="1:5" x14ac:dyDescent="0.2">
      <c r="A222" s="84"/>
      <c r="B222" s="84" t="s">
        <v>981</v>
      </c>
      <c r="C222" s="84"/>
      <c r="D222" s="84"/>
      <c r="E222" s="84"/>
    </row>
    <row r="223" spans="1:5" x14ac:dyDescent="0.2">
      <c r="A223" s="164">
        <f>+A220+1</f>
        <v>182</v>
      </c>
      <c r="B223" s="316" t="s">
        <v>982</v>
      </c>
      <c r="C223" s="238">
        <v>41669</v>
      </c>
      <c r="D223" s="238">
        <v>41669</v>
      </c>
      <c r="E223" t="s">
        <v>309</v>
      </c>
    </row>
    <row r="224" spans="1:5" x14ac:dyDescent="0.2">
      <c r="A224" s="164">
        <f>+A223+1</f>
        <v>183</v>
      </c>
      <c r="B224" s="3" t="s">
        <v>39</v>
      </c>
      <c r="C224" s="238">
        <v>41750</v>
      </c>
      <c r="D224" s="238">
        <v>41750</v>
      </c>
      <c r="E224" t="s">
        <v>309</v>
      </c>
    </row>
    <row r="225" spans="1:5" x14ac:dyDescent="0.2">
      <c r="A225" s="164">
        <f>+A224+1</f>
        <v>184</v>
      </c>
      <c r="B225" s="3" t="s">
        <v>40</v>
      </c>
      <c r="C225" s="238">
        <v>41750</v>
      </c>
      <c r="D225" s="238">
        <v>41750</v>
      </c>
      <c r="E225" t="s">
        <v>309</v>
      </c>
    </row>
    <row r="226" spans="1:5" x14ac:dyDescent="0.2">
      <c r="A226" s="164">
        <f>+A225+1</f>
        <v>185</v>
      </c>
      <c r="B226" t="s">
        <v>736</v>
      </c>
      <c r="C226" s="238">
        <v>41750</v>
      </c>
      <c r="D226" s="238">
        <v>41750</v>
      </c>
      <c r="E226" t="s">
        <v>309</v>
      </c>
    </row>
    <row r="227" spans="1:5" x14ac:dyDescent="0.2">
      <c r="A227" s="164">
        <f>+A226+1</f>
        <v>186</v>
      </c>
      <c r="B227" t="s">
        <v>41</v>
      </c>
      <c r="C227" s="238">
        <v>41752</v>
      </c>
      <c r="D227" s="238">
        <v>41752</v>
      </c>
      <c r="E227" t="s">
        <v>309</v>
      </c>
    </row>
    <row r="228" spans="1:5" x14ac:dyDescent="0.2">
      <c r="A228" s="164">
        <f>+A227+1</f>
        <v>187</v>
      </c>
      <c r="B228" t="s">
        <v>42</v>
      </c>
      <c r="C228" s="238">
        <v>41752</v>
      </c>
      <c r="D228" s="238">
        <v>41752</v>
      </c>
      <c r="E228" t="s">
        <v>309</v>
      </c>
    </row>
    <row r="230" spans="1:5" x14ac:dyDescent="0.2">
      <c r="A230" s="84"/>
      <c r="B230" s="505" t="s">
        <v>1447</v>
      </c>
      <c r="C230" s="84"/>
      <c r="D230" s="84"/>
    </row>
    <row r="231" spans="1:5" ht="25.5" x14ac:dyDescent="0.2">
      <c r="A231" s="164">
        <f>+A227+1</f>
        <v>187</v>
      </c>
      <c r="B231" s="671" t="s">
        <v>1466</v>
      </c>
      <c r="C231" s="238">
        <v>42018</v>
      </c>
      <c r="D231" s="238">
        <v>42018</v>
      </c>
      <c r="E231" s="12" t="s">
        <v>1462</v>
      </c>
    </row>
    <row r="232" spans="1:5" ht="63.75" x14ac:dyDescent="0.2">
      <c r="A232" s="164">
        <f t="shared" ref="A232:A240" si="10">+A231+1</f>
        <v>188</v>
      </c>
      <c r="B232" s="671" t="s">
        <v>1482</v>
      </c>
      <c r="C232" s="238">
        <v>42018</v>
      </c>
      <c r="D232" s="238">
        <v>42018</v>
      </c>
      <c r="E232" s="12" t="s">
        <v>1462</v>
      </c>
    </row>
    <row r="233" spans="1:5" x14ac:dyDescent="0.2">
      <c r="A233" s="164">
        <f t="shared" si="10"/>
        <v>189</v>
      </c>
      <c r="B233" s="316" t="s">
        <v>308</v>
      </c>
      <c r="C233" s="238">
        <v>42018</v>
      </c>
      <c r="D233" s="238">
        <v>42025</v>
      </c>
      <c r="E233" s="12" t="s">
        <v>1462</v>
      </c>
    </row>
    <row r="234" spans="1:5" x14ac:dyDescent="0.2">
      <c r="A234" s="164">
        <f t="shared" si="10"/>
        <v>190</v>
      </c>
      <c r="B234" s="316" t="s">
        <v>310</v>
      </c>
      <c r="C234" s="238">
        <v>42018</v>
      </c>
      <c r="D234" s="238">
        <v>42025</v>
      </c>
      <c r="E234" s="12" t="s">
        <v>1462</v>
      </c>
    </row>
    <row r="235" spans="1:5" x14ac:dyDescent="0.2">
      <c r="A235" s="164">
        <f t="shared" si="10"/>
        <v>191</v>
      </c>
      <c r="B235" s="680" t="s">
        <v>1456</v>
      </c>
      <c r="C235" s="238">
        <v>41775</v>
      </c>
      <c r="D235" s="238">
        <v>42025</v>
      </c>
      <c r="E235" s="12" t="s">
        <v>309</v>
      </c>
    </row>
    <row r="236" spans="1:5" x14ac:dyDescent="0.2">
      <c r="A236" s="164">
        <f t="shared" si="10"/>
        <v>192</v>
      </c>
      <c r="B236" s="671" t="s">
        <v>1458</v>
      </c>
      <c r="C236" s="238">
        <v>41775</v>
      </c>
      <c r="D236" s="238">
        <v>42025</v>
      </c>
      <c r="E236" s="12" t="s">
        <v>309</v>
      </c>
    </row>
    <row r="237" spans="1:5" x14ac:dyDescent="0.2">
      <c r="A237" s="164">
        <f t="shared" si="10"/>
        <v>193</v>
      </c>
      <c r="B237" s="694" t="s">
        <v>1485</v>
      </c>
      <c r="C237" s="238">
        <v>41662</v>
      </c>
      <c r="D237" s="238">
        <v>42025</v>
      </c>
      <c r="E237" s="12" t="s">
        <v>309</v>
      </c>
    </row>
    <row r="238" spans="1:5" x14ac:dyDescent="0.2">
      <c r="A238" s="164">
        <f t="shared" si="10"/>
        <v>194</v>
      </c>
      <c r="B238" s="671" t="s">
        <v>1486</v>
      </c>
      <c r="C238" s="238">
        <v>41662</v>
      </c>
      <c r="D238" s="238">
        <v>41662</v>
      </c>
      <c r="E238" s="12" t="s">
        <v>309</v>
      </c>
    </row>
    <row r="239" spans="1:5" x14ac:dyDescent="0.2">
      <c r="A239" s="164">
        <f t="shared" si="10"/>
        <v>195</v>
      </c>
      <c r="B239" s="671" t="s">
        <v>1488</v>
      </c>
      <c r="C239" s="238">
        <v>41662</v>
      </c>
      <c r="D239" s="238">
        <v>41662</v>
      </c>
      <c r="E239" s="12" t="s">
        <v>309</v>
      </c>
    </row>
    <row r="240" spans="1:5" x14ac:dyDescent="0.2">
      <c r="A240" s="164">
        <f t="shared" si="10"/>
        <v>196</v>
      </c>
      <c r="B240" s="671" t="s">
        <v>998</v>
      </c>
      <c r="C240" s="238">
        <v>41662</v>
      </c>
      <c r="D240" s="238">
        <v>41662</v>
      </c>
      <c r="E240" s="12" t="s">
        <v>309</v>
      </c>
    </row>
    <row r="243" spans="1:5" x14ac:dyDescent="0.2">
      <c r="A243" s="84"/>
      <c r="B243" s="505" t="s">
        <v>1504</v>
      </c>
      <c r="C243" s="84"/>
      <c r="D243" s="84"/>
    </row>
    <row r="244" spans="1:5" ht="153" x14ac:dyDescent="0.2">
      <c r="A244" s="164">
        <f>+A240+1</f>
        <v>197</v>
      </c>
      <c r="B244" s="163" t="s">
        <v>1502</v>
      </c>
      <c r="C244" s="238">
        <v>42228</v>
      </c>
      <c r="D244" s="238">
        <v>42271</v>
      </c>
      <c r="E244" s="12" t="s">
        <v>724</v>
      </c>
    </row>
    <row r="245" spans="1:5" x14ac:dyDescent="0.2">
      <c r="A245" s="164">
        <f t="shared" ref="A245:A250" si="11">+A244+1</f>
        <v>198</v>
      </c>
      <c r="B245" t="s">
        <v>1500</v>
      </c>
      <c r="C245" s="238">
        <v>42271</v>
      </c>
      <c r="D245" s="238">
        <v>42271</v>
      </c>
      <c r="E245" s="12" t="s">
        <v>309</v>
      </c>
    </row>
    <row r="246" spans="1:5" ht="25.5" x14ac:dyDescent="0.2">
      <c r="A246" s="164">
        <f t="shared" si="11"/>
        <v>199</v>
      </c>
      <c r="B246" s="163" t="s">
        <v>1503</v>
      </c>
      <c r="C246" s="238">
        <v>42271</v>
      </c>
      <c r="D246" s="238">
        <v>42271</v>
      </c>
      <c r="E246" s="12" t="s">
        <v>309</v>
      </c>
    </row>
    <row r="247" spans="1:5" x14ac:dyDescent="0.2">
      <c r="A247" s="164">
        <f t="shared" si="11"/>
        <v>200</v>
      </c>
      <c r="B247" t="s">
        <v>1501</v>
      </c>
      <c r="C247" s="238">
        <v>42271</v>
      </c>
      <c r="D247" s="238">
        <v>42271</v>
      </c>
      <c r="E247" s="12" t="s">
        <v>309</v>
      </c>
    </row>
    <row r="248" spans="1:5" x14ac:dyDescent="0.2">
      <c r="A248" s="164">
        <f t="shared" si="11"/>
        <v>201</v>
      </c>
      <c r="B248" s="163" t="s">
        <v>1505</v>
      </c>
      <c r="C248" s="238">
        <v>42271</v>
      </c>
      <c r="D248" s="238">
        <v>42271</v>
      </c>
      <c r="E248" s="12" t="s">
        <v>309</v>
      </c>
    </row>
    <row r="249" spans="1:5" x14ac:dyDescent="0.2">
      <c r="A249" s="164">
        <f t="shared" si="11"/>
        <v>202</v>
      </c>
      <c r="B249" t="s">
        <v>998</v>
      </c>
      <c r="C249" s="238">
        <v>42271</v>
      </c>
      <c r="D249" s="238">
        <v>42271</v>
      </c>
      <c r="E249" s="12" t="s">
        <v>309</v>
      </c>
    </row>
    <row r="250" spans="1:5" x14ac:dyDescent="0.2">
      <c r="A250" s="164">
        <f t="shared" si="11"/>
        <v>203</v>
      </c>
    </row>
    <row r="251" spans="1:5" x14ac:dyDescent="0.2">
      <c r="A251" s="164"/>
    </row>
    <row r="252" spans="1:5" x14ac:dyDescent="0.2">
      <c r="A252" s="164"/>
    </row>
    <row r="253" spans="1:5" x14ac:dyDescent="0.2">
      <c r="A253" s="164"/>
    </row>
    <row r="254" spans="1:5" x14ac:dyDescent="0.2">
      <c r="A254" s="84"/>
      <c r="B254" s="505" t="s">
        <v>1459</v>
      </c>
      <c r="C254" s="84"/>
      <c r="D254" s="84"/>
    </row>
    <row r="255" spans="1:5" x14ac:dyDescent="0.2">
      <c r="A255" s="164"/>
      <c r="B255" s="12" t="s">
        <v>1460</v>
      </c>
      <c r="C255" s="238">
        <v>42025</v>
      </c>
      <c r="E255" s="12" t="s">
        <v>309</v>
      </c>
    </row>
    <row r="256" spans="1:5" x14ac:dyDescent="0.2">
      <c r="A256" s="164"/>
      <c r="B256" s="12" t="s">
        <v>1461</v>
      </c>
      <c r="C256" s="238">
        <v>42025</v>
      </c>
      <c r="E256" s="12" t="s">
        <v>309</v>
      </c>
    </row>
    <row r="257" spans="1:5" ht="25.5" x14ac:dyDescent="0.2">
      <c r="A257" s="164"/>
      <c r="B257" s="316" t="s">
        <v>1487</v>
      </c>
      <c r="C257" s="238">
        <v>42027</v>
      </c>
      <c r="E257" s="12" t="s">
        <v>309</v>
      </c>
    </row>
    <row r="258" spans="1:5" ht="25.5" x14ac:dyDescent="0.2">
      <c r="A258" s="164">
        <f>+A256+1</f>
        <v>1</v>
      </c>
      <c r="B258" s="671" t="s">
        <v>1512</v>
      </c>
      <c r="C258" s="238">
        <v>42381</v>
      </c>
      <c r="D258" s="238">
        <v>42398</v>
      </c>
      <c r="E258" s="12" t="s">
        <v>1462</v>
      </c>
    </row>
    <row r="259" spans="1:5" ht="63.75" x14ac:dyDescent="0.2">
      <c r="A259" s="164">
        <f t="shared" ref="A259:A270" si="12">+A258+1</f>
        <v>2</v>
      </c>
      <c r="B259" s="671" t="s">
        <v>1552</v>
      </c>
      <c r="C259" s="238">
        <v>42381</v>
      </c>
      <c r="D259" s="238">
        <v>42401</v>
      </c>
      <c r="E259" s="12" t="s">
        <v>1462</v>
      </c>
    </row>
    <row r="260" spans="1:5" x14ac:dyDescent="0.2">
      <c r="A260" s="164">
        <f t="shared" si="12"/>
        <v>3</v>
      </c>
      <c r="B260" s="316" t="s">
        <v>308</v>
      </c>
      <c r="C260" s="238">
        <v>42381</v>
      </c>
      <c r="D260" s="238">
        <v>42381</v>
      </c>
      <c r="E260" s="12" t="s">
        <v>1220</v>
      </c>
    </row>
    <row r="261" spans="1:5" x14ac:dyDescent="0.2">
      <c r="A261" s="164">
        <f t="shared" si="12"/>
        <v>4</v>
      </c>
      <c r="B261" s="316" t="s">
        <v>310</v>
      </c>
      <c r="C261" s="238">
        <v>42381</v>
      </c>
      <c r="D261" s="238">
        <v>42381</v>
      </c>
      <c r="E261" s="12" t="s">
        <v>1220</v>
      </c>
    </row>
    <row r="262" spans="1:5" x14ac:dyDescent="0.2">
      <c r="A262" s="164">
        <f t="shared" si="12"/>
        <v>5</v>
      </c>
      <c r="B262" s="694" t="s">
        <v>1544</v>
      </c>
      <c r="C262" s="238">
        <v>42401</v>
      </c>
      <c r="D262" s="238">
        <v>42401</v>
      </c>
      <c r="E262" s="12" t="s">
        <v>309</v>
      </c>
    </row>
    <row r="263" spans="1:5" x14ac:dyDescent="0.2">
      <c r="A263" s="164">
        <f t="shared" si="12"/>
        <v>6</v>
      </c>
      <c r="B263" s="680" t="s">
        <v>1548</v>
      </c>
      <c r="C263" s="238">
        <v>42401</v>
      </c>
      <c r="D263" s="238">
        <v>42401</v>
      </c>
      <c r="E263" s="12" t="s">
        <v>309</v>
      </c>
    </row>
    <row r="264" spans="1:5" x14ac:dyDescent="0.2">
      <c r="A264" s="164">
        <f t="shared" si="12"/>
        <v>7</v>
      </c>
      <c r="B264" s="680" t="s">
        <v>1549</v>
      </c>
      <c r="C264" s="238">
        <v>42401</v>
      </c>
      <c r="D264" s="238">
        <v>42401</v>
      </c>
      <c r="E264" s="12" t="s">
        <v>309</v>
      </c>
    </row>
    <row r="265" spans="1:5" x14ac:dyDescent="0.2">
      <c r="A265" s="164">
        <f t="shared" si="12"/>
        <v>8</v>
      </c>
      <c r="B265" s="680" t="s">
        <v>1550</v>
      </c>
      <c r="C265" s="238">
        <v>42401</v>
      </c>
      <c r="D265" s="238">
        <v>42401</v>
      </c>
      <c r="E265" s="12" t="s">
        <v>309</v>
      </c>
    </row>
    <row r="266" spans="1:5" x14ac:dyDescent="0.2">
      <c r="A266" s="164">
        <f t="shared" si="12"/>
        <v>9</v>
      </c>
      <c r="B266" s="671" t="s">
        <v>1553</v>
      </c>
      <c r="C266" s="238">
        <v>42401</v>
      </c>
      <c r="D266" s="238">
        <v>42401</v>
      </c>
      <c r="E266" s="12" t="s">
        <v>309</v>
      </c>
    </row>
    <row r="267" spans="1:5" x14ac:dyDescent="0.2">
      <c r="A267" s="164">
        <f t="shared" si="12"/>
        <v>10</v>
      </c>
      <c r="B267" s="671" t="s">
        <v>998</v>
      </c>
      <c r="C267" s="238">
        <v>42401</v>
      </c>
      <c r="D267" s="238">
        <v>42401</v>
      </c>
      <c r="E267" s="12" t="s">
        <v>309</v>
      </c>
    </row>
    <row r="268" spans="1:5" x14ac:dyDescent="0.2">
      <c r="A268" s="164">
        <f t="shared" si="12"/>
        <v>11</v>
      </c>
      <c r="B268" s="671" t="s">
        <v>1556</v>
      </c>
      <c r="C268" s="238">
        <v>42402</v>
      </c>
      <c r="D268" s="238">
        <v>42402</v>
      </c>
      <c r="E268" s="12" t="s">
        <v>309</v>
      </c>
    </row>
    <row r="269" spans="1:5" x14ac:dyDescent="0.2">
      <c r="A269" s="164">
        <f t="shared" si="12"/>
        <v>12</v>
      </c>
      <c r="B269" s="671" t="s">
        <v>1557</v>
      </c>
      <c r="C269" s="238">
        <v>42402</v>
      </c>
      <c r="D269" s="238">
        <v>42402</v>
      </c>
      <c r="E269" s="12" t="s">
        <v>309</v>
      </c>
    </row>
    <row r="270" spans="1:5" x14ac:dyDescent="0.2">
      <c r="A270" s="164">
        <f t="shared" si="12"/>
        <v>13</v>
      </c>
      <c r="B270" s="671" t="s">
        <v>998</v>
      </c>
      <c r="C270" s="238">
        <v>42402</v>
      </c>
      <c r="D270" s="238">
        <v>42402</v>
      </c>
      <c r="E270" s="12" t="s">
        <v>309</v>
      </c>
    </row>
    <row r="271" spans="1:5" x14ac:dyDescent="0.2">
      <c r="A271" s="164"/>
    </row>
    <row r="272" spans="1:5" x14ac:dyDescent="0.2">
      <c r="A272" s="164">
        <f>+A270+1</f>
        <v>14</v>
      </c>
      <c r="B272" s="671" t="s">
        <v>1558</v>
      </c>
      <c r="C272" s="238">
        <v>42418</v>
      </c>
      <c r="D272" s="238">
        <v>42418</v>
      </c>
      <c r="E272" s="12" t="s">
        <v>309</v>
      </c>
    </row>
    <row r="273" spans="1:5" x14ac:dyDescent="0.2">
      <c r="A273" s="164">
        <f>+A272+1</f>
        <v>15</v>
      </c>
      <c r="B273" s="671" t="s">
        <v>1559</v>
      </c>
      <c r="C273" s="238">
        <v>42465</v>
      </c>
      <c r="D273" s="238">
        <v>42465</v>
      </c>
      <c r="E273" s="12" t="s">
        <v>309</v>
      </c>
    </row>
    <row r="274" spans="1:5" x14ac:dyDescent="0.2">
      <c r="A274" s="164">
        <f>+A273+1</f>
        <v>16</v>
      </c>
      <c r="B274" s="671" t="s">
        <v>1560</v>
      </c>
      <c r="C274" s="238">
        <v>42465</v>
      </c>
      <c r="D274" s="238">
        <v>42465</v>
      </c>
      <c r="E274" s="12" t="s">
        <v>309</v>
      </c>
    </row>
    <row r="275" spans="1:5" x14ac:dyDescent="0.2">
      <c r="A275" s="164"/>
    </row>
    <row r="276" spans="1:5" x14ac:dyDescent="0.2">
      <c r="A276" s="164"/>
    </row>
    <row r="277" spans="1:5" x14ac:dyDescent="0.2">
      <c r="A277" s="84"/>
      <c r="B277" s="505" t="s">
        <v>1561</v>
      </c>
      <c r="C277" s="84"/>
      <c r="D277" s="84"/>
    </row>
    <row r="278" spans="1:5" ht="25.5" x14ac:dyDescent="0.2">
      <c r="A278" s="164">
        <v>1</v>
      </c>
      <c r="B278" s="671" t="s">
        <v>1564</v>
      </c>
      <c r="C278" s="238">
        <v>42762</v>
      </c>
      <c r="D278" s="238"/>
      <c r="E278" s="12" t="s">
        <v>1220</v>
      </c>
    </row>
    <row r="279" spans="1:5" x14ac:dyDescent="0.2">
      <c r="A279" s="164">
        <f>+A278+1</f>
        <v>2</v>
      </c>
      <c r="B279" s="316" t="s">
        <v>308</v>
      </c>
      <c r="C279" s="238">
        <v>42762</v>
      </c>
      <c r="D279" s="238"/>
      <c r="E279" s="12" t="s">
        <v>1220</v>
      </c>
    </row>
    <row r="280" spans="1:5" x14ac:dyDescent="0.2">
      <c r="A280" s="164">
        <f>+A279+1</f>
        <v>3</v>
      </c>
      <c r="B280" s="316" t="s">
        <v>1563</v>
      </c>
      <c r="C280" s="238">
        <v>42762</v>
      </c>
      <c r="D280" s="238"/>
      <c r="E280" s="12" t="s">
        <v>1220</v>
      </c>
    </row>
    <row r="281" spans="1:5" x14ac:dyDescent="0.2">
      <c r="A281" s="164">
        <f>+A280+1</f>
        <v>4</v>
      </c>
      <c r="B281" s="680" t="s">
        <v>1562</v>
      </c>
      <c r="C281" s="238">
        <v>42762</v>
      </c>
      <c r="D281" s="238"/>
      <c r="E281" s="12" t="s">
        <v>1220</v>
      </c>
    </row>
    <row r="282" spans="1:5" ht="25.5" customHeight="1" x14ac:dyDescent="0.2">
      <c r="A282" s="164">
        <f t="shared" ref="A282:A286" si="13">+A281+1</f>
        <v>5</v>
      </c>
      <c r="B282" s="671" t="s">
        <v>1584</v>
      </c>
      <c r="C282" s="238">
        <v>42396</v>
      </c>
      <c r="D282" s="238"/>
      <c r="E282" s="12" t="s">
        <v>1220</v>
      </c>
    </row>
    <row r="283" spans="1:5" ht="25.5" x14ac:dyDescent="0.2">
      <c r="A283" s="164">
        <f t="shared" si="13"/>
        <v>6</v>
      </c>
      <c r="B283" s="671" t="s">
        <v>1585</v>
      </c>
      <c r="C283" s="238">
        <v>42396</v>
      </c>
      <c r="D283" s="238"/>
      <c r="E283" s="12" t="s">
        <v>1220</v>
      </c>
    </row>
    <row r="284" spans="1:5" ht="38.25" x14ac:dyDescent="0.2">
      <c r="A284" s="164">
        <f t="shared" si="13"/>
        <v>7</v>
      </c>
      <c r="B284" s="730" t="s">
        <v>1590</v>
      </c>
      <c r="C284" s="238">
        <v>42399</v>
      </c>
      <c r="D284" s="238"/>
      <c r="E284" s="724" t="s">
        <v>1220</v>
      </c>
    </row>
    <row r="285" spans="1:5" ht="38.25" x14ac:dyDescent="0.2">
      <c r="A285" s="164">
        <f t="shared" si="13"/>
        <v>8</v>
      </c>
      <c r="B285" s="730" t="s">
        <v>1595</v>
      </c>
      <c r="C285" s="238">
        <v>42399</v>
      </c>
      <c r="D285" s="238"/>
      <c r="E285" s="724" t="s">
        <v>1220</v>
      </c>
    </row>
    <row r="286" spans="1:5" ht="38.25" x14ac:dyDescent="0.2">
      <c r="A286" s="164">
        <f t="shared" si="13"/>
        <v>9</v>
      </c>
      <c r="B286" s="730" t="s">
        <v>1594</v>
      </c>
      <c r="C286" s="238">
        <v>42403</v>
      </c>
      <c r="D286" s="238"/>
      <c r="E286" s="731" t="s">
        <v>1220</v>
      </c>
    </row>
    <row r="289" spans="1:5" x14ac:dyDescent="0.2">
      <c r="A289" s="84"/>
      <c r="B289" s="505" t="s">
        <v>1629</v>
      </c>
      <c r="C289" s="84"/>
      <c r="D289" s="84"/>
    </row>
    <row r="290" spans="1:5" x14ac:dyDescent="0.2">
      <c r="A290" s="164">
        <v>1</v>
      </c>
      <c r="B290" s="730" t="s">
        <v>1630</v>
      </c>
      <c r="C290" s="238">
        <v>43103</v>
      </c>
      <c r="D290" s="238"/>
      <c r="E290" s="736" t="s">
        <v>1220</v>
      </c>
    </row>
    <row r="291" spans="1:5" x14ac:dyDescent="0.2">
      <c r="A291" s="164">
        <f>+A290+1</f>
        <v>2</v>
      </c>
      <c r="B291" s="316" t="s">
        <v>308</v>
      </c>
      <c r="C291" s="238">
        <v>43103</v>
      </c>
      <c r="D291" s="238"/>
      <c r="E291" s="736" t="s">
        <v>1220</v>
      </c>
    </row>
    <row r="292" spans="1:5" x14ac:dyDescent="0.2">
      <c r="A292" s="164">
        <f>+A291+1</f>
        <v>3</v>
      </c>
      <c r="B292" s="730" t="s">
        <v>1631</v>
      </c>
      <c r="C292" s="238">
        <v>43103</v>
      </c>
      <c r="D292" s="238"/>
      <c r="E292" s="736" t="s">
        <v>1220</v>
      </c>
    </row>
    <row r="293" spans="1:5" x14ac:dyDescent="0.2">
      <c r="A293" s="164">
        <f>+A292+1</f>
        <v>4</v>
      </c>
      <c r="B293" s="730" t="s">
        <v>1632</v>
      </c>
      <c r="C293" s="238">
        <v>43103</v>
      </c>
      <c r="D293" s="238"/>
      <c r="E293" s="736" t="s">
        <v>1220</v>
      </c>
    </row>
    <row r="294" spans="1:5" ht="38.25" x14ac:dyDescent="0.2">
      <c r="A294" s="164">
        <f t="shared" ref="A294:A297" si="14">+A293+1</f>
        <v>5</v>
      </c>
      <c r="B294" s="730" t="s">
        <v>1633</v>
      </c>
      <c r="C294" s="238">
        <v>43103</v>
      </c>
      <c r="D294" s="238"/>
      <c r="E294" s="736" t="s">
        <v>1220</v>
      </c>
    </row>
    <row r="295" spans="1:5" ht="25.5" x14ac:dyDescent="0.2">
      <c r="A295" s="164">
        <f t="shared" si="14"/>
        <v>6</v>
      </c>
      <c r="B295" s="730" t="s">
        <v>1634</v>
      </c>
      <c r="C295" s="238">
        <v>43103</v>
      </c>
      <c r="D295" s="238"/>
      <c r="E295" s="736" t="s">
        <v>1220</v>
      </c>
    </row>
    <row r="296" spans="1:5" x14ac:dyDescent="0.2">
      <c r="A296" s="164">
        <f t="shared" si="14"/>
        <v>7</v>
      </c>
      <c r="B296" s="730" t="s">
        <v>1635</v>
      </c>
      <c r="C296" s="238">
        <v>43103</v>
      </c>
      <c r="D296" s="238"/>
      <c r="E296" s="736" t="s">
        <v>1220</v>
      </c>
    </row>
    <row r="297" spans="1:5" x14ac:dyDescent="0.2">
      <c r="A297" s="164">
        <f t="shared" si="14"/>
        <v>8</v>
      </c>
      <c r="B297" s="730" t="s">
        <v>1636</v>
      </c>
      <c r="C297" s="238">
        <v>43103</v>
      </c>
      <c r="D297" s="238"/>
      <c r="E297" s="736" t="s">
        <v>1220</v>
      </c>
    </row>
    <row r="298" spans="1:5" x14ac:dyDescent="0.2">
      <c r="A298" s="164"/>
      <c r="B298" s="730"/>
      <c r="C298" s="238"/>
      <c r="D298" s="238"/>
      <c r="E298" s="736"/>
    </row>
    <row r="300" spans="1:5" x14ac:dyDescent="0.2">
      <c r="A300" s="84"/>
      <c r="B300" s="505" t="s">
        <v>1647</v>
      </c>
      <c r="C300" s="84"/>
      <c r="D300" s="84"/>
    </row>
    <row r="301" spans="1:5" x14ac:dyDescent="0.2">
      <c r="A301" s="164">
        <v>1</v>
      </c>
      <c r="B301" s="730" t="s">
        <v>1648</v>
      </c>
      <c r="C301" s="238">
        <v>43368</v>
      </c>
      <c r="D301" s="238"/>
      <c r="E301" s="750" t="s">
        <v>1220</v>
      </c>
    </row>
    <row r="302" spans="1:5" x14ac:dyDescent="0.2">
      <c r="A302" s="164">
        <f>+A301+1</f>
        <v>2</v>
      </c>
      <c r="B302" s="316" t="s">
        <v>308</v>
      </c>
      <c r="C302" s="238">
        <v>43368</v>
      </c>
      <c r="D302" s="238"/>
      <c r="E302" s="750" t="s">
        <v>1220</v>
      </c>
    </row>
    <row r="303" spans="1:5" x14ac:dyDescent="0.2">
      <c r="A303" s="164">
        <f>+A302+1</f>
        <v>3</v>
      </c>
      <c r="B303" s="730" t="s">
        <v>1650</v>
      </c>
      <c r="C303" s="238">
        <v>43368</v>
      </c>
      <c r="D303" s="238"/>
      <c r="E303" s="750" t="s">
        <v>1220</v>
      </c>
    </row>
    <row r="304" spans="1:5" x14ac:dyDescent="0.2">
      <c r="A304" s="164">
        <f>+A303+1</f>
        <v>4</v>
      </c>
      <c r="B304" s="730" t="s">
        <v>1652</v>
      </c>
      <c r="C304" s="238">
        <v>43368</v>
      </c>
      <c r="D304" s="238"/>
      <c r="E304" s="750" t="s">
        <v>1220</v>
      </c>
    </row>
    <row r="305" spans="1:5" ht="38.25" x14ac:dyDescent="0.2">
      <c r="A305" s="164">
        <f t="shared" ref="A305:A306" si="15">+A304+1</f>
        <v>5</v>
      </c>
      <c r="B305" s="730" t="s">
        <v>1633</v>
      </c>
      <c r="C305" s="238">
        <v>43368</v>
      </c>
      <c r="D305" s="238"/>
      <c r="E305" s="750" t="s">
        <v>1220</v>
      </c>
    </row>
    <row r="306" spans="1:5" ht="25.5" x14ac:dyDescent="0.2">
      <c r="A306" s="164">
        <f t="shared" si="15"/>
        <v>6</v>
      </c>
      <c r="B306" s="730" t="s">
        <v>1634</v>
      </c>
      <c r="C306" s="238">
        <v>43368</v>
      </c>
      <c r="D306" s="238"/>
      <c r="E306" s="750" t="s">
        <v>1220</v>
      </c>
    </row>
    <row r="307" spans="1:5" x14ac:dyDescent="0.2">
      <c r="A307" s="164">
        <v>7</v>
      </c>
      <c r="B307" s="730" t="s">
        <v>1764</v>
      </c>
      <c r="C307" s="238">
        <v>43420</v>
      </c>
      <c r="D307" s="238"/>
      <c r="E307" s="67" t="s">
        <v>1220</v>
      </c>
    </row>
    <row r="308" spans="1:5" x14ac:dyDescent="0.2">
      <c r="A308" s="164">
        <v>8</v>
      </c>
      <c r="B308" s="730" t="s">
        <v>1765</v>
      </c>
      <c r="C308" s="238">
        <v>43420</v>
      </c>
      <c r="E308" s="67" t="s">
        <v>1220</v>
      </c>
    </row>
    <row r="309" spans="1:5" x14ac:dyDescent="0.2">
      <c r="A309" s="164">
        <v>9</v>
      </c>
      <c r="B309" s="730" t="s">
        <v>1766</v>
      </c>
      <c r="C309" s="238">
        <v>43420</v>
      </c>
      <c r="E309" s="67" t="s">
        <v>1220</v>
      </c>
    </row>
  </sheetData>
  <sheetProtection algorithmName="SHA-512" hashValue="eJkiNxcZ+ArSFSrI/97w9Kvd6O7slei2cGJ+CbRy94Ub0YiB8r/U1y5xWpujzB2msDrK863bVJ+PXyWBqSrbfQ==" saltValue="xd3st9ZREidS+o6DFuK0XQ==" spinCount="100000" sheet="1" objects="1" scenarios="1"/>
  <phoneticPr fontId="2" type="noConversion"/>
  <pageMargins left="0.75" right="0.75" top="1" bottom="1" header="0.5" footer="0.5"/>
  <pageSetup scale="94" orientation="landscape"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4"/>
  <dimension ref="A1:I52"/>
  <sheetViews>
    <sheetView showGridLines="0" workbookViewId="0">
      <selection activeCell="F8" sqref="F8"/>
    </sheetView>
  </sheetViews>
  <sheetFormatPr defaultRowHeight="12.75" x14ac:dyDescent="0.2"/>
  <cols>
    <col min="1" max="1" width="12.7109375" style="701" customWidth="1"/>
    <col min="2" max="2" width="8.7109375" style="701" customWidth="1"/>
    <col min="3" max="3" width="23.7109375" style="701" customWidth="1"/>
    <col min="4" max="4" width="12.7109375" style="701" customWidth="1"/>
    <col min="5" max="5" width="3.7109375" style="701" customWidth="1"/>
    <col min="6" max="9" width="12.7109375" style="701" customWidth="1"/>
    <col min="10" max="16384" width="9.140625" style="701"/>
  </cols>
  <sheetData>
    <row r="1" spans="1:9" ht="30" x14ac:dyDescent="0.4">
      <c r="A1" s="699" t="s">
        <v>1517</v>
      </c>
      <c r="B1" s="700">
        <v>27</v>
      </c>
      <c r="C1" s="1602" t="s">
        <v>465</v>
      </c>
      <c r="D1" s="1603"/>
      <c r="E1" s="1603"/>
      <c r="F1" s="1603"/>
      <c r="G1" s="1603"/>
      <c r="H1" s="1604"/>
      <c r="I1" s="743">
        <f>IF('Complete This Page'!G11="",YEAR('Complete This Page'!H11),'Complete This Page'!G11)</f>
        <v>2018</v>
      </c>
    </row>
    <row r="2" spans="1:9" ht="12.75" customHeight="1" x14ac:dyDescent="0.2">
      <c r="A2" s="702" t="s">
        <v>159</v>
      </c>
      <c r="B2" s="702"/>
      <c r="C2" s="1605" t="s">
        <v>1518</v>
      </c>
      <c r="D2" s="1606"/>
      <c r="E2" s="1606"/>
      <c r="F2" s="1606"/>
      <c r="G2" s="1606"/>
      <c r="H2" s="1607"/>
      <c r="I2" s="746" t="str">
        <f>+'Complete This Page'!J1</f>
        <v>NPAC v2018.0</v>
      </c>
    </row>
    <row r="3" spans="1:9" x14ac:dyDescent="0.2">
      <c r="A3" s="1608" t="s">
        <v>467</v>
      </c>
      <c r="B3" s="1608"/>
      <c r="C3" s="1608"/>
      <c r="D3" s="1608"/>
      <c r="E3" s="1608"/>
      <c r="F3" s="1608"/>
      <c r="G3" s="1609"/>
      <c r="H3" s="1610" t="s">
        <v>466</v>
      </c>
      <c r="I3" s="1608"/>
    </row>
    <row r="4" spans="1:9" ht="18" x14ac:dyDescent="0.25">
      <c r="A4" s="1598">
        <f>+'Complete This Page'!B3</f>
        <v>0</v>
      </c>
      <c r="B4" s="1598"/>
      <c r="C4" s="1598"/>
      <c r="D4" s="1598"/>
      <c r="E4" s="1598"/>
      <c r="F4" s="1598"/>
      <c r="G4" s="1599"/>
      <c r="H4" s="1600">
        <f>+'Complete This Page'!G3</f>
        <v>0</v>
      </c>
      <c r="I4" s="1601"/>
    </row>
    <row r="6" spans="1:9" x14ac:dyDescent="0.2">
      <c r="F6" s="703" t="s">
        <v>1519</v>
      </c>
      <c r="G6" s="703" t="s">
        <v>1520</v>
      </c>
      <c r="H6" s="703" t="s">
        <v>1521</v>
      </c>
      <c r="I6" s="704" t="s">
        <v>1522</v>
      </c>
    </row>
    <row r="7" spans="1:9" ht="25.5" customHeight="1" x14ac:dyDescent="0.2">
      <c r="F7" s="705"/>
      <c r="G7" s="705"/>
      <c r="H7" s="705"/>
      <c r="I7" s="706"/>
    </row>
    <row r="8" spans="1:9" x14ac:dyDescent="0.2">
      <c r="A8" s="1594" t="s">
        <v>101</v>
      </c>
      <c r="B8" s="1594"/>
      <c r="C8" s="1595"/>
      <c r="D8" s="717" t="str">
        <f>+'Complete This Page'!F60</f>
        <v>No guidance available</v>
      </c>
      <c r="E8" s="708">
        <f>1</f>
        <v>1</v>
      </c>
      <c r="F8" s="709"/>
      <c r="G8" s="709"/>
      <c r="H8" s="709"/>
      <c r="I8" s="710"/>
    </row>
    <row r="9" spans="1:9" x14ac:dyDescent="0.2">
      <c r="A9" s="1596" t="s">
        <v>102</v>
      </c>
      <c r="B9" s="1596"/>
      <c r="C9" s="1597"/>
      <c r="D9" s="717" t="str">
        <f>+'Complete This Page'!F61</f>
        <v>No guidance available</v>
      </c>
      <c r="E9" s="708">
        <f>+E8+1</f>
        <v>2</v>
      </c>
      <c r="F9" s="709"/>
      <c r="G9" s="709"/>
      <c r="H9" s="709"/>
      <c r="I9" s="710"/>
    </row>
    <row r="10" spans="1:9" x14ac:dyDescent="0.2">
      <c r="A10" s="1596" t="s">
        <v>1523</v>
      </c>
      <c r="B10" s="1596"/>
      <c r="C10" s="1597"/>
      <c r="D10" s="711"/>
      <c r="E10" s="708">
        <f>+E9+1</f>
        <v>3</v>
      </c>
      <c r="F10" s="712">
        <f>IF(F8&lt;F9,F8,F9)</f>
        <v>0</v>
      </c>
      <c r="G10" s="712">
        <f>IF(G8&lt;G9,G8,G9)</f>
        <v>0</v>
      </c>
      <c r="H10" s="712">
        <f>IF(H8&lt;H9,H8,H9)</f>
        <v>0</v>
      </c>
      <c r="I10" s="713">
        <f>IF(I8&lt;I9,I8,I9)</f>
        <v>0</v>
      </c>
    </row>
    <row r="11" spans="1:9" x14ac:dyDescent="0.2">
      <c r="A11" s="1596" t="s">
        <v>103</v>
      </c>
      <c r="B11" s="1596"/>
      <c r="C11" s="1597"/>
      <c r="D11" s="717" t="str">
        <f>+'Complete This Page'!F63</f>
        <v>No guidance available</v>
      </c>
      <c r="E11" s="708">
        <f>+E10+1</f>
        <v>4</v>
      </c>
      <c r="F11" s="709"/>
      <c r="G11" s="709"/>
      <c r="H11" s="709"/>
      <c r="I11" s="710"/>
    </row>
    <row r="12" spans="1:9" x14ac:dyDescent="0.2">
      <c r="A12" s="1596" t="s">
        <v>1524</v>
      </c>
      <c r="B12" s="1596"/>
      <c r="C12" s="1597"/>
      <c r="D12" s="714" t="s">
        <v>1525</v>
      </c>
      <c r="E12" s="708">
        <f>+E11+1</f>
        <v>5</v>
      </c>
      <c r="F12" s="712">
        <f>+F10-F11</f>
        <v>0</v>
      </c>
      <c r="G12" s="712">
        <f>+G10-G11</f>
        <v>0</v>
      </c>
      <c r="H12" s="712">
        <f>+H10-H11</f>
        <v>0</v>
      </c>
      <c r="I12" s="713">
        <f>+I10-I11</f>
        <v>0</v>
      </c>
    </row>
    <row r="13" spans="1:9" x14ac:dyDescent="0.2">
      <c r="A13" s="1596" t="s">
        <v>1526</v>
      </c>
      <c r="B13" s="1596"/>
      <c r="C13" s="1597"/>
      <c r="D13" s="711"/>
      <c r="E13" s="708">
        <f>+E12+1</f>
        <v>6</v>
      </c>
      <c r="F13" s="712">
        <f>ROUND(F12*0.2,0)</f>
        <v>0</v>
      </c>
      <c r="G13" s="712">
        <f>ROUND(G12*0.2,0)</f>
        <v>0</v>
      </c>
      <c r="H13" s="712">
        <f>ROUND(H12*0.2,0)</f>
        <v>0</v>
      </c>
      <c r="I13" s="713">
        <f>ROUND(I12*0.2,0)</f>
        <v>0</v>
      </c>
    </row>
    <row r="14" spans="1:9" ht="15" customHeight="1" x14ac:dyDescent="0.2">
      <c r="I14" s="715"/>
    </row>
    <row r="15" spans="1:9" x14ac:dyDescent="0.2">
      <c r="F15" s="703" t="s">
        <v>1527</v>
      </c>
      <c r="G15" s="703" t="s">
        <v>1528</v>
      </c>
      <c r="H15" s="703" t="s">
        <v>1529</v>
      </c>
      <c r="I15" s="704" t="s">
        <v>1530</v>
      </c>
    </row>
    <row r="16" spans="1:9" ht="25.5" customHeight="1" x14ac:dyDescent="0.2">
      <c r="F16" s="705"/>
      <c r="G16" s="705"/>
      <c r="H16" s="705"/>
      <c r="I16" s="706"/>
    </row>
    <row r="17" spans="1:9" x14ac:dyDescent="0.2">
      <c r="A17" s="1594" t="s">
        <v>101</v>
      </c>
      <c r="B17" s="1594"/>
      <c r="C17" s="1595"/>
      <c r="D17" s="707" t="str">
        <f>+D8</f>
        <v>No guidance available</v>
      </c>
      <c r="E17" s="708">
        <v>1</v>
      </c>
      <c r="F17" s="709"/>
      <c r="G17" s="709"/>
      <c r="H17" s="709"/>
      <c r="I17" s="710"/>
    </row>
    <row r="18" spans="1:9" x14ac:dyDescent="0.2">
      <c r="A18" s="1596" t="s">
        <v>102</v>
      </c>
      <c r="B18" s="1596"/>
      <c r="C18" s="1597"/>
      <c r="D18" s="707" t="str">
        <f>+D9</f>
        <v>No guidance available</v>
      </c>
      <c r="E18" s="708">
        <f>+E17+1</f>
        <v>2</v>
      </c>
      <c r="F18" s="709"/>
      <c r="G18" s="709"/>
      <c r="H18" s="709"/>
      <c r="I18" s="710"/>
    </row>
    <row r="19" spans="1:9" x14ac:dyDescent="0.2">
      <c r="A19" s="1596" t="s">
        <v>1523</v>
      </c>
      <c r="B19" s="1596"/>
      <c r="C19" s="1597"/>
      <c r="D19" s="711"/>
      <c r="E19" s="708">
        <f>+E18+1</f>
        <v>3</v>
      </c>
      <c r="F19" s="712">
        <f>IF(F17&lt;F18,F17,F18)</f>
        <v>0</v>
      </c>
      <c r="G19" s="712">
        <f>IF(G17&lt;G18,G17,G18)</f>
        <v>0</v>
      </c>
      <c r="H19" s="712">
        <f>IF(H17&lt;H18,H17,H18)</f>
        <v>0</v>
      </c>
      <c r="I19" s="713">
        <f>IF(I17&lt;I18,I17,I18)</f>
        <v>0</v>
      </c>
    </row>
    <row r="20" spans="1:9" x14ac:dyDescent="0.2">
      <c r="A20" s="1596" t="s">
        <v>103</v>
      </c>
      <c r="B20" s="1596"/>
      <c r="C20" s="1597"/>
      <c r="D20" s="707" t="str">
        <f>+D11</f>
        <v>No guidance available</v>
      </c>
      <c r="E20" s="708">
        <f>+E19+1</f>
        <v>4</v>
      </c>
      <c r="F20" s="709"/>
      <c r="G20" s="709"/>
      <c r="H20" s="709"/>
      <c r="I20" s="710"/>
    </row>
    <row r="21" spans="1:9" x14ac:dyDescent="0.2">
      <c r="A21" s="1596" t="s">
        <v>1524</v>
      </c>
      <c r="B21" s="1596"/>
      <c r="C21" s="1597"/>
      <c r="D21" s="714" t="s">
        <v>1525</v>
      </c>
      <c r="E21" s="708">
        <f>+E20+1</f>
        <v>5</v>
      </c>
      <c r="F21" s="712">
        <f>+F19-F20</f>
        <v>0</v>
      </c>
      <c r="G21" s="712">
        <f>+G19-G20</f>
        <v>0</v>
      </c>
      <c r="H21" s="712">
        <f>+H19-H20</f>
        <v>0</v>
      </c>
      <c r="I21" s="713">
        <f>+I19-I20</f>
        <v>0</v>
      </c>
    </row>
    <row r="22" spans="1:9" x14ac:dyDescent="0.2">
      <c r="A22" s="1596" t="s">
        <v>1526</v>
      </c>
      <c r="B22" s="1596"/>
      <c r="C22" s="1597"/>
      <c r="D22" s="711"/>
      <c r="E22" s="708">
        <f>+E21+1</f>
        <v>6</v>
      </c>
      <c r="F22" s="712">
        <f>ROUND(F21*0.2,0)</f>
        <v>0</v>
      </c>
      <c r="G22" s="712">
        <f>ROUND(G21*0.2,0)</f>
        <v>0</v>
      </c>
      <c r="H22" s="712">
        <f>ROUND(H21*0.2,0)</f>
        <v>0</v>
      </c>
      <c r="I22" s="713">
        <f>ROUND(I21*0.2,0)</f>
        <v>0</v>
      </c>
    </row>
    <row r="23" spans="1:9" ht="15" customHeight="1" x14ac:dyDescent="0.2">
      <c r="I23" s="715"/>
    </row>
    <row r="24" spans="1:9" x14ac:dyDescent="0.2">
      <c r="F24" s="703" t="s">
        <v>1531</v>
      </c>
      <c r="G24" s="703" t="s">
        <v>1532</v>
      </c>
      <c r="H24" s="703" t="s">
        <v>1533</v>
      </c>
      <c r="I24" s="704" t="s">
        <v>1534</v>
      </c>
    </row>
    <row r="25" spans="1:9" ht="25.5" customHeight="1" x14ac:dyDescent="0.2">
      <c r="F25" s="705"/>
      <c r="G25" s="705"/>
      <c r="H25" s="705"/>
      <c r="I25" s="706"/>
    </row>
    <row r="26" spans="1:9" x14ac:dyDescent="0.2">
      <c r="A26" s="1594" t="s">
        <v>101</v>
      </c>
      <c r="B26" s="1594"/>
      <c r="C26" s="1595"/>
      <c r="D26" s="707" t="str">
        <f>+D17</f>
        <v>No guidance available</v>
      </c>
      <c r="E26" s="708">
        <v>1</v>
      </c>
      <c r="F26" s="709"/>
      <c r="G26" s="709"/>
      <c r="H26" s="709"/>
      <c r="I26" s="710"/>
    </row>
    <row r="27" spans="1:9" x14ac:dyDescent="0.2">
      <c r="A27" s="1596" t="s">
        <v>102</v>
      </c>
      <c r="B27" s="1596"/>
      <c r="C27" s="1597"/>
      <c r="D27" s="707" t="str">
        <f>+D18</f>
        <v>No guidance available</v>
      </c>
      <c r="E27" s="708">
        <f>+E26+1</f>
        <v>2</v>
      </c>
      <c r="F27" s="709"/>
      <c r="G27" s="709"/>
      <c r="H27" s="709"/>
      <c r="I27" s="710"/>
    </row>
    <row r="28" spans="1:9" x14ac:dyDescent="0.2">
      <c r="A28" s="1596" t="s">
        <v>1523</v>
      </c>
      <c r="B28" s="1596"/>
      <c r="C28" s="1597"/>
      <c r="D28" s="711"/>
      <c r="E28" s="708">
        <f>+E27+1</f>
        <v>3</v>
      </c>
      <c r="F28" s="712">
        <f>IF(F26&lt;F27,F26,F27)</f>
        <v>0</v>
      </c>
      <c r="G28" s="712">
        <f>IF(G26&lt;G27,G26,G27)</f>
        <v>0</v>
      </c>
      <c r="H28" s="712">
        <f>IF(H26&lt;H27,H26,H27)</f>
        <v>0</v>
      </c>
      <c r="I28" s="713">
        <f>IF(I26&lt;I27,I26,I27)</f>
        <v>0</v>
      </c>
    </row>
    <row r="29" spans="1:9" x14ac:dyDescent="0.2">
      <c r="A29" s="1596" t="s">
        <v>103</v>
      </c>
      <c r="B29" s="1596"/>
      <c r="C29" s="1597"/>
      <c r="D29" s="707" t="str">
        <f>+D20</f>
        <v>No guidance available</v>
      </c>
      <c r="E29" s="708">
        <f>+E28+1</f>
        <v>4</v>
      </c>
      <c r="F29" s="709"/>
      <c r="G29" s="709"/>
      <c r="H29" s="709"/>
      <c r="I29" s="710"/>
    </row>
    <row r="30" spans="1:9" x14ac:dyDescent="0.2">
      <c r="A30" s="1596" t="s">
        <v>1524</v>
      </c>
      <c r="B30" s="1596"/>
      <c r="C30" s="1597"/>
      <c r="D30" s="714" t="s">
        <v>1525</v>
      </c>
      <c r="E30" s="708">
        <f>+E29+1</f>
        <v>5</v>
      </c>
      <c r="F30" s="712">
        <f>+F28-F29</f>
        <v>0</v>
      </c>
      <c r="G30" s="712">
        <f>+G28-G29</f>
        <v>0</v>
      </c>
      <c r="H30" s="712">
        <f>+H28-H29</f>
        <v>0</v>
      </c>
      <c r="I30" s="713">
        <f>+I28-I29</f>
        <v>0</v>
      </c>
    </row>
    <row r="31" spans="1:9" x14ac:dyDescent="0.2">
      <c r="A31" s="1596" t="s">
        <v>1526</v>
      </c>
      <c r="B31" s="1596"/>
      <c r="C31" s="1597"/>
      <c r="D31" s="711"/>
      <c r="E31" s="708">
        <f>+E30+1</f>
        <v>6</v>
      </c>
      <c r="F31" s="712">
        <f>ROUND(F30*0.2,0)</f>
        <v>0</v>
      </c>
      <c r="G31" s="712">
        <f>ROUND(G30*0.2,0)</f>
        <v>0</v>
      </c>
      <c r="H31" s="712">
        <f>ROUND(H30*0.2,0)</f>
        <v>0</v>
      </c>
      <c r="I31" s="713">
        <f>ROUND(I30*0.2,0)</f>
        <v>0</v>
      </c>
    </row>
    <row r="32" spans="1:9" ht="15" customHeight="1" x14ac:dyDescent="0.2">
      <c r="I32" s="715"/>
    </row>
    <row r="33" spans="1:9" x14ac:dyDescent="0.2">
      <c r="F33" s="703" t="s">
        <v>1535</v>
      </c>
      <c r="G33" s="703" t="s">
        <v>1536</v>
      </c>
      <c r="H33" s="703" t="s">
        <v>1537</v>
      </c>
      <c r="I33" s="704" t="s">
        <v>1538</v>
      </c>
    </row>
    <row r="34" spans="1:9" ht="25.5" customHeight="1" x14ac:dyDescent="0.2">
      <c r="F34" s="705"/>
      <c r="G34" s="705"/>
      <c r="H34" s="705"/>
      <c r="I34" s="706"/>
    </row>
    <row r="35" spans="1:9" x14ac:dyDescent="0.2">
      <c r="A35" s="1594" t="s">
        <v>101</v>
      </c>
      <c r="B35" s="1594"/>
      <c r="C35" s="1595"/>
      <c r="D35" s="707" t="str">
        <f>+D26</f>
        <v>No guidance available</v>
      </c>
      <c r="E35" s="708">
        <v>1</v>
      </c>
      <c r="F35" s="709"/>
      <c r="G35" s="709"/>
      <c r="H35" s="709"/>
      <c r="I35" s="710"/>
    </row>
    <row r="36" spans="1:9" x14ac:dyDescent="0.2">
      <c r="A36" s="1596" t="s">
        <v>102</v>
      </c>
      <c r="B36" s="1596"/>
      <c r="C36" s="1597"/>
      <c r="D36" s="707" t="str">
        <f>+D27</f>
        <v>No guidance available</v>
      </c>
      <c r="E36" s="708">
        <f>+E35+1</f>
        <v>2</v>
      </c>
      <c r="F36" s="709"/>
      <c r="G36" s="709"/>
      <c r="H36" s="709"/>
      <c r="I36" s="710"/>
    </row>
    <row r="37" spans="1:9" x14ac:dyDescent="0.2">
      <c r="A37" s="1596" t="s">
        <v>1523</v>
      </c>
      <c r="B37" s="1596"/>
      <c r="C37" s="1597"/>
      <c r="D37" s="711"/>
      <c r="E37" s="708">
        <f>+E36+1</f>
        <v>3</v>
      </c>
      <c r="F37" s="712">
        <f>IF(F35&lt;F36,F35,F36)</f>
        <v>0</v>
      </c>
      <c r="G37" s="712">
        <f>IF(G35&lt;G36,G35,G36)</f>
        <v>0</v>
      </c>
      <c r="H37" s="712">
        <f>IF(H35&lt;H36,H35,H36)</f>
        <v>0</v>
      </c>
      <c r="I37" s="713">
        <f>IF(I35&lt;I36,I35,I36)</f>
        <v>0</v>
      </c>
    </row>
    <row r="38" spans="1:9" x14ac:dyDescent="0.2">
      <c r="A38" s="1596" t="s">
        <v>103</v>
      </c>
      <c r="B38" s="1596"/>
      <c r="C38" s="1597"/>
      <c r="D38" s="707" t="str">
        <f>+D29</f>
        <v>No guidance available</v>
      </c>
      <c r="E38" s="708">
        <f>+E37+1</f>
        <v>4</v>
      </c>
      <c r="F38" s="709"/>
      <c r="G38" s="709"/>
      <c r="H38" s="709"/>
      <c r="I38" s="710"/>
    </row>
    <row r="39" spans="1:9" x14ac:dyDescent="0.2">
      <c r="A39" s="1596" t="s">
        <v>1524</v>
      </c>
      <c r="B39" s="1596"/>
      <c r="C39" s="1597"/>
      <c r="D39" s="714" t="s">
        <v>1525</v>
      </c>
      <c r="E39" s="708">
        <f>+E38+1</f>
        <v>5</v>
      </c>
      <c r="F39" s="712">
        <f>+F37-F38</f>
        <v>0</v>
      </c>
      <c r="G39" s="712">
        <f>+G37-G38</f>
        <v>0</v>
      </c>
      <c r="H39" s="712">
        <f>+H37-H38</f>
        <v>0</v>
      </c>
      <c r="I39" s="713">
        <f>+I37-I38</f>
        <v>0</v>
      </c>
    </row>
    <row r="40" spans="1:9" x14ac:dyDescent="0.2">
      <c r="A40" s="1596" t="s">
        <v>1526</v>
      </c>
      <c r="B40" s="1596"/>
      <c r="C40" s="1597"/>
      <c r="D40" s="711"/>
      <c r="E40" s="708">
        <f>+E39+1</f>
        <v>6</v>
      </c>
      <c r="F40" s="712">
        <f>ROUND(F39*0.2,0)</f>
        <v>0</v>
      </c>
      <c r="G40" s="712">
        <f>ROUND(G39*0.2,0)</f>
        <v>0</v>
      </c>
      <c r="H40" s="712">
        <f>ROUND(H39*0.2,0)</f>
        <v>0</v>
      </c>
      <c r="I40" s="713">
        <f>ROUND(I39*0.2,0)</f>
        <v>0</v>
      </c>
    </row>
    <row r="41" spans="1:9" ht="15" customHeight="1" x14ac:dyDescent="0.2">
      <c r="I41" s="715"/>
    </row>
    <row r="42" spans="1:9" x14ac:dyDescent="0.2">
      <c r="F42" s="703" t="s">
        <v>1539</v>
      </c>
      <c r="G42" s="703" t="s">
        <v>1540</v>
      </c>
      <c r="H42" s="703" t="s">
        <v>1541</v>
      </c>
      <c r="I42" s="704" t="s">
        <v>1542</v>
      </c>
    </row>
    <row r="43" spans="1:9" ht="25.5" customHeight="1" x14ac:dyDescent="0.2">
      <c r="F43" s="705"/>
      <c r="G43" s="705"/>
      <c r="H43" s="705"/>
      <c r="I43" s="706"/>
    </row>
    <row r="44" spans="1:9" x14ac:dyDescent="0.2">
      <c r="A44" s="1594" t="s">
        <v>101</v>
      </c>
      <c r="B44" s="1594"/>
      <c r="C44" s="1595"/>
      <c r="D44" s="707" t="str">
        <f>+D35</f>
        <v>No guidance available</v>
      </c>
      <c r="E44" s="708">
        <v>1</v>
      </c>
      <c r="F44" s="709"/>
      <c r="G44" s="709"/>
      <c r="H44" s="709"/>
      <c r="I44" s="710"/>
    </row>
    <row r="45" spans="1:9" x14ac:dyDescent="0.2">
      <c r="A45" s="1596" t="s">
        <v>102</v>
      </c>
      <c r="B45" s="1596"/>
      <c r="C45" s="1597"/>
      <c r="D45" s="707" t="str">
        <f>+D36</f>
        <v>No guidance available</v>
      </c>
      <c r="E45" s="708">
        <f>+E44+1</f>
        <v>2</v>
      </c>
      <c r="F45" s="709"/>
      <c r="G45" s="709"/>
      <c r="H45" s="709"/>
      <c r="I45" s="710"/>
    </row>
    <row r="46" spans="1:9" x14ac:dyDescent="0.2">
      <c r="A46" s="1596" t="s">
        <v>1523</v>
      </c>
      <c r="B46" s="1596"/>
      <c r="C46" s="1597"/>
      <c r="D46" s="711"/>
      <c r="E46" s="708">
        <f>+E45+1</f>
        <v>3</v>
      </c>
      <c r="F46" s="712">
        <f>IF(F44&lt;F45,F44,F45)</f>
        <v>0</v>
      </c>
      <c r="G46" s="712">
        <f>IF(G44&lt;G45,G44,G45)</f>
        <v>0</v>
      </c>
      <c r="H46" s="712">
        <f>IF(H44&lt;H45,H44,H45)</f>
        <v>0</v>
      </c>
      <c r="I46" s="713">
        <f>IF(I44&lt;I45,I44,I45)</f>
        <v>0</v>
      </c>
    </row>
    <row r="47" spans="1:9" x14ac:dyDescent="0.2">
      <c r="A47" s="1596" t="s">
        <v>103</v>
      </c>
      <c r="B47" s="1596"/>
      <c r="C47" s="1597"/>
      <c r="D47" s="707" t="str">
        <f>+D38</f>
        <v>No guidance available</v>
      </c>
      <c r="E47" s="708">
        <f>+E46+1</f>
        <v>4</v>
      </c>
      <c r="F47" s="709"/>
      <c r="G47" s="709"/>
      <c r="H47" s="709"/>
      <c r="I47" s="710"/>
    </row>
    <row r="48" spans="1:9" x14ac:dyDescent="0.2">
      <c r="A48" s="1596" t="s">
        <v>1524</v>
      </c>
      <c r="B48" s="1596"/>
      <c r="C48" s="1597"/>
      <c r="D48" s="714" t="s">
        <v>1525</v>
      </c>
      <c r="E48" s="708">
        <f>+E47+1</f>
        <v>5</v>
      </c>
      <c r="F48" s="712">
        <f>+F46-F47</f>
        <v>0</v>
      </c>
      <c r="G48" s="712">
        <f>+G46-G47</f>
        <v>0</v>
      </c>
      <c r="H48" s="712">
        <f>+H46-H47</f>
        <v>0</v>
      </c>
      <c r="I48" s="713">
        <f>+I46-I47</f>
        <v>0</v>
      </c>
    </row>
    <row r="49" spans="1:9" x14ac:dyDescent="0.2">
      <c r="A49" s="1596" t="s">
        <v>1526</v>
      </c>
      <c r="B49" s="1596"/>
      <c r="C49" s="1597"/>
      <c r="D49" s="711"/>
      <c r="E49" s="708">
        <f>+E48+1</f>
        <v>6</v>
      </c>
      <c r="F49" s="712">
        <f>ROUND(F48*0.2,0)</f>
        <v>0</v>
      </c>
      <c r="G49" s="712">
        <f>ROUND(G48*0.2,0)</f>
        <v>0</v>
      </c>
      <c r="H49" s="712">
        <f>ROUND(H48*0.2,0)</f>
        <v>0</v>
      </c>
      <c r="I49" s="713">
        <f>ROUND(I48*0.2,0)</f>
        <v>0</v>
      </c>
    </row>
    <row r="50" spans="1:9" x14ac:dyDescent="0.2">
      <c r="I50" s="715"/>
    </row>
    <row r="51" spans="1:9" x14ac:dyDescent="0.2">
      <c r="A51" s="1591" t="s">
        <v>1543</v>
      </c>
      <c r="B51" s="1592"/>
      <c r="C51" s="1592"/>
      <c r="D51" s="1592"/>
      <c r="E51" s="1592"/>
      <c r="F51" s="1592"/>
      <c r="G51" s="1592"/>
      <c r="H51" s="1592"/>
      <c r="I51" s="716">
        <f>IF(A52="",SUM(F13:I13)+SUM(F22:I22)+SUM(F31:I31)+SUM(F40:I40)+SUM(F49:I49),0)</f>
        <v>0</v>
      </c>
    </row>
    <row r="52" spans="1:9" ht="15.75" x14ac:dyDescent="0.25">
      <c r="A52" s="1593" t="str">
        <f>IF('Complete This Page'!I60&lt;&gt;"","ERROR: Do not complete Lines 17-20 on the 'Complete This Page' tab if using this worksheet","")</f>
        <v/>
      </c>
      <c r="B52" s="1593"/>
      <c r="C52" s="1593"/>
      <c r="D52" s="1593"/>
      <c r="E52" s="1593"/>
      <c r="F52" s="1593"/>
      <c r="G52" s="1593"/>
      <c r="H52" s="1593"/>
      <c r="I52" s="1593"/>
    </row>
  </sheetData>
  <sheetProtection algorithmName="SHA-512" hashValue="QzrDKal/ycBoFh5lFCXNIrpCZ5eAc6SF19nOAmIoLPjaZTakrbhdoRdDMChFdQmJh8ICnlyM5A//pyEBO29FZA==" saltValue="y9D05q3dPqDCNNcwflnbNg==" spinCount="100000" sheet="1" objects="1" scenarios="1"/>
  <mergeCells count="38">
    <mergeCell ref="A4:G4"/>
    <mergeCell ref="H4:I4"/>
    <mergeCell ref="C1:H1"/>
    <mergeCell ref="C2:H2"/>
    <mergeCell ref="A3:G3"/>
    <mergeCell ref="H3:I3"/>
    <mergeCell ref="A22:C22"/>
    <mergeCell ref="A8:C8"/>
    <mergeCell ref="A9:C9"/>
    <mergeCell ref="A10:C10"/>
    <mergeCell ref="A11:C11"/>
    <mergeCell ref="A12:C12"/>
    <mergeCell ref="A13:C13"/>
    <mergeCell ref="A17:C17"/>
    <mergeCell ref="A18:C18"/>
    <mergeCell ref="A19:C19"/>
    <mergeCell ref="A20:C20"/>
    <mergeCell ref="A21:C21"/>
    <mergeCell ref="A40:C40"/>
    <mergeCell ref="A26:C26"/>
    <mergeCell ref="A27:C27"/>
    <mergeCell ref="A28:C28"/>
    <mergeCell ref="A29:C29"/>
    <mergeCell ref="A30:C30"/>
    <mergeCell ref="A31:C31"/>
    <mergeCell ref="A35:C35"/>
    <mergeCell ref="A36:C36"/>
    <mergeCell ref="A37:C37"/>
    <mergeCell ref="A38:C38"/>
    <mergeCell ref="A39:C39"/>
    <mergeCell ref="A51:H51"/>
    <mergeCell ref="A52:I52"/>
    <mergeCell ref="A44:C44"/>
    <mergeCell ref="A45:C45"/>
    <mergeCell ref="A46:C46"/>
    <mergeCell ref="A47:C47"/>
    <mergeCell ref="A48:C48"/>
    <mergeCell ref="A49:C49"/>
  </mergeCells>
  <conditionalFormatting sqref="F8:F11 G8:I13 F26:G31 F17:I22">
    <cfRule type="expression" dxfId="7" priority="8" stopIfTrue="1">
      <formula>#REF!="Skip:"</formula>
    </cfRule>
  </conditionalFormatting>
  <conditionalFormatting sqref="F13">
    <cfRule type="expression" dxfId="6" priority="7" stopIfTrue="1">
      <formula>#REF!="Skip:"</formula>
    </cfRule>
  </conditionalFormatting>
  <conditionalFormatting sqref="F12">
    <cfRule type="expression" dxfId="5" priority="6" stopIfTrue="1">
      <formula>#REF!="Skip:"</formula>
    </cfRule>
  </conditionalFormatting>
  <conditionalFormatting sqref="H26:I31">
    <cfRule type="expression" dxfId="4" priority="5" stopIfTrue="1">
      <formula>#REF!="Skip:"</formula>
    </cfRule>
  </conditionalFormatting>
  <conditionalFormatting sqref="F35:G40">
    <cfRule type="expression" dxfId="3" priority="4" stopIfTrue="1">
      <formula>#REF!="Skip:"</formula>
    </cfRule>
  </conditionalFormatting>
  <conditionalFormatting sqref="H35:I40">
    <cfRule type="expression" dxfId="2" priority="3" stopIfTrue="1">
      <formula>#REF!="Skip:"</formula>
    </cfRule>
  </conditionalFormatting>
  <conditionalFormatting sqref="F44:G49">
    <cfRule type="expression" dxfId="1" priority="2" stopIfTrue="1">
      <formula>#REF!="Skip:"</formula>
    </cfRule>
  </conditionalFormatting>
  <conditionalFormatting sqref="H44:I49">
    <cfRule type="expression" dxfId="0" priority="1" stopIfTrue="1">
      <formula>#REF!="Skip:"</formula>
    </cfRule>
  </conditionalFormatting>
  <pageMargins left="0.25" right="0.25" top="0.5" bottom="0.75" header="0.3" footer="0.3"/>
  <pageSetup scale="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26</vt:i4>
      </vt:variant>
      <vt:variant>
        <vt:lpstr>Named Ranges</vt:lpstr>
      </vt:variant>
      <vt:variant>
        <vt:i4>15</vt:i4>
      </vt:variant>
    </vt:vector>
  </HeadingPairs>
  <TitlesOfParts>
    <vt:vector size="41" baseType="lpstr">
      <vt:lpstr>Instructions</vt:lpstr>
      <vt:lpstr>Complete This Page</vt:lpstr>
      <vt:lpstr>Print Return</vt:lpstr>
      <vt:lpstr>Print Schedules</vt:lpstr>
      <vt:lpstr>Print NOL Worksheet</vt:lpstr>
      <vt:lpstr>Muni Carryovers</vt:lpstr>
      <vt:lpstr>Fed Carryovers</vt:lpstr>
      <vt:lpstr>Form 8903</vt:lpstr>
      <vt:lpstr>Form 8903 (pre 2011)</vt:lpstr>
      <vt:lpstr>Cities</vt:lpstr>
      <vt:lpstr>Tax Rates</vt:lpstr>
      <vt:lpstr>Overflow</vt:lpstr>
      <vt:lpstr>Differences from original</vt:lpstr>
      <vt:lpstr>Overflow (2)</vt:lpstr>
      <vt:lpstr>Overflow (3)</vt:lpstr>
      <vt:lpstr>Overflow (4)</vt:lpstr>
      <vt:lpstr>Overflow (5)</vt:lpstr>
      <vt:lpstr>Overflow (6)</vt:lpstr>
      <vt:lpstr>Overflow (7)</vt:lpstr>
      <vt:lpstr>Overflow (8)</vt:lpstr>
      <vt:lpstr>Overflows Worksheet</vt:lpstr>
      <vt:lpstr>Tax Rate Calc</vt:lpstr>
      <vt:lpstr>Data</vt:lpstr>
      <vt:lpstr>References</vt:lpstr>
      <vt:lpstr>Notes</vt:lpstr>
      <vt:lpstr>291 Worksheet</vt:lpstr>
      <vt:lpstr>DropTable1</vt:lpstr>
      <vt:lpstr>'291 Worksheet'!Print_Area</vt:lpstr>
      <vt:lpstr>Cities!Print_Area</vt:lpstr>
      <vt:lpstr>'Complete This Page'!Print_Area</vt:lpstr>
      <vt:lpstr>Overflow!Print_Area</vt:lpstr>
      <vt:lpstr>'Overflow (2)'!Print_Area</vt:lpstr>
      <vt:lpstr>'Overflow (3)'!Print_Area</vt:lpstr>
      <vt:lpstr>'Overflow (4)'!Print_Area</vt:lpstr>
      <vt:lpstr>'Overflow (5)'!Print_Area</vt:lpstr>
      <vt:lpstr>'Overflow (6)'!Print_Area</vt:lpstr>
      <vt:lpstr>'Overflow (7)'!Print_Area</vt:lpstr>
      <vt:lpstr>'Overflow (8)'!Print_Area</vt:lpstr>
      <vt:lpstr>'Print Return'!Print_Area</vt:lpstr>
      <vt:lpstr>'Tax Rates'!Print_Area</vt:lpstr>
      <vt:lpstr>Cities!Print_Titles</vt:lpstr>
    </vt:vector>
  </TitlesOfParts>
  <Company>Regional Income Tax Agency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RITA Net Profit Auto-Calc</dc:title>
  <dc:creator>Richard Donnelly</dc:creator>
  <dc:description>2006 Version of the Net Profits Workbook.  Handles tax years 2004-2006 including amended returns.</dc:description>
  <cp:lastModifiedBy>Goff, Sue</cp:lastModifiedBy>
  <cp:lastPrinted>2019-03-15T15:34:17Z</cp:lastPrinted>
  <dcterms:created xsi:type="dcterms:W3CDTF">2006-10-31T19:52:06Z</dcterms:created>
  <dcterms:modified xsi:type="dcterms:W3CDTF">2019-08-14T13:41:38Z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ublisher">
    <vt:lpwstr>The Regional Income Tax Agency</vt:lpwstr>
  </property>
</Properties>
</file>